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een Marine\"/>
    </mc:Choice>
  </mc:AlternateContent>
  <bookViews>
    <workbookView xWindow="-30" yWindow="-180" windowWidth="20040" windowHeight="7695"/>
  </bookViews>
  <sheets>
    <sheet name="2017" sheetId="24" r:id="rId1"/>
    <sheet name="2018" sheetId="23" r:id="rId2"/>
    <sheet name="2019" sheetId="22" r:id="rId3"/>
    <sheet name="2020" sheetId="8" r:id="rId4"/>
    <sheet name="2021" sheetId="21" r:id="rId5"/>
    <sheet name="2022" sheetId="34" r:id="rId6"/>
    <sheet name="Analysis" sheetId="16" r:id="rId7"/>
  </sheets>
  <calcPr calcId="162913"/>
</workbook>
</file>

<file path=xl/calcChain.xml><?xml version="1.0" encoding="utf-8"?>
<calcChain xmlns="http://schemas.openxmlformats.org/spreadsheetml/2006/main">
  <c r="K5" i="16" l="1"/>
  <c r="K6" i="16"/>
  <c r="K7" i="16"/>
  <c r="K8" i="16"/>
  <c r="K4" i="16"/>
  <c r="W50" i="16"/>
  <c r="W49" i="16"/>
  <c r="W48" i="16"/>
  <c r="W47" i="16"/>
  <c r="W46" i="16"/>
  <c r="W45" i="16"/>
  <c r="W44" i="16"/>
  <c r="W43" i="16"/>
  <c r="W41" i="16"/>
  <c r="W42" i="16"/>
  <c r="X42" i="16"/>
  <c r="V42" i="16"/>
  <c r="V25" i="16"/>
  <c r="W25" i="16"/>
  <c r="X25" i="16"/>
  <c r="I42" i="16"/>
  <c r="I25" i="16"/>
  <c r="I8" i="16"/>
  <c r="AF18" i="34"/>
  <c r="AF17" i="34"/>
  <c r="AF16" i="34"/>
  <c r="AF15" i="34"/>
  <c r="AF14" i="34"/>
  <c r="AF13" i="34"/>
  <c r="AF12" i="34"/>
  <c r="AF11" i="34"/>
  <c r="AF10" i="34"/>
  <c r="AF9" i="34"/>
  <c r="AF8" i="34"/>
  <c r="AF7" i="34"/>
  <c r="AL21" i="34" l="1"/>
  <c r="AC7" i="34"/>
  <c r="AD7" i="34"/>
  <c r="AD19" i="34" s="1"/>
  <c r="AD21" i="34" s="1"/>
  <c r="AE7" i="34"/>
  <c r="AE19" i="34" s="1"/>
  <c r="AE21" i="34" s="1"/>
  <c r="AG7" i="34"/>
  <c r="AC8" i="34"/>
  <c r="AC19" i="34" s="1"/>
  <c r="AC21" i="34" s="1"/>
  <c r="AD8" i="34"/>
  <c r="AG8" i="34"/>
  <c r="AC9" i="34"/>
  <c r="AD9" i="34"/>
  <c r="AE9" i="34"/>
  <c r="AF19" i="34"/>
  <c r="AF21" i="34" s="1"/>
  <c r="AG9" i="34"/>
  <c r="AG19" i="34" s="1"/>
  <c r="AG21" i="34" s="1"/>
  <c r="AH9" i="34"/>
  <c r="AI9" i="34"/>
  <c r="AC10" i="34"/>
  <c r="AE10" i="34"/>
  <c r="AI10" i="34"/>
  <c r="AG10" i="34"/>
  <c r="AC11" i="34"/>
  <c r="AH11" i="34" s="1"/>
  <c r="AI11" i="34" s="1"/>
  <c r="AE11" i="34"/>
  <c r="AG11" i="34"/>
  <c r="AC12" i="34"/>
  <c r="AE12" i="34"/>
  <c r="AG12" i="34"/>
  <c r="AH12" i="34"/>
  <c r="AI12" i="34"/>
  <c r="AC13" i="34"/>
  <c r="AH13" i="34" s="1"/>
  <c r="AE13" i="34"/>
  <c r="AG13" i="34"/>
  <c r="AI13" i="34" s="1"/>
  <c r="AC14" i="34"/>
  <c r="AH14" i="34" s="1"/>
  <c r="AE14" i="34"/>
  <c r="AI14" i="34"/>
  <c r="AG14" i="34"/>
  <c r="AC15" i="34"/>
  <c r="AE15" i="34"/>
  <c r="AG15" i="34"/>
  <c r="AH15" i="34"/>
  <c r="AI15" i="34"/>
  <c r="AC16" i="34"/>
  <c r="AH16" i="34" s="1"/>
  <c r="AE16" i="34"/>
  <c r="AI16" i="34"/>
  <c r="AG16" i="34"/>
  <c r="AC17" i="34"/>
  <c r="AD17" i="34"/>
  <c r="AE17" i="34"/>
  <c r="AG17" i="34"/>
  <c r="AC18" i="34"/>
  <c r="AD18" i="34"/>
  <c r="AG18" i="34"/>
  <c r="AH18" i="34"/>
  <c r="AI18" i="34"/>
  <c r="B19" i="34"/>
  <c r="B21" i="34" s="1"/>
  <c r="C19" i="34"/>
  <c r="C21" i="34" s="1"/>
  <c r="D19" i="34"/>
  <c r="D21" i="34" s="1"/>
  <c r="E19" i="34"/>
  <c r="E21" i="34" s="1"/>
  <c r="F19" i="34"/>
  <c r="F21" i="34" s="1"/>
  <c r="G19" i="34"/>
  <c r="H19" i="34"/>
  <c r="I19" i="34"/>
  <c r="I21" i="34" s="1"/>
  <c r="J19" i="34"/>
  <c r="K19" i="34"/>
  <c r="L19" i="34"/>
  <c r="L21" i="34" s="1"/>
  <c r="M19" i="34"/>
  <c r="M21" i="34" s="1"/>
  <c r="N19" i="34"/>
  <c r="N21" i="34" s="1"/>
  <c r="O19" i="34"/>
  <c r="P19" i="34"/>
  <c r="Q19" i="34"/>
  <c r="Q21" i="34" s="1"/>
  <c r="R19" i="34"/>
  <c r="R21" i="34" s="1"/>
  <c r="S19" i="34"/>
  <c r="S21" i="34" s="1"/>
  <c r="T19" i="34"/>
  <c r="T21" i="34" s="1"/>
  <c r="U19" i="34"/>
  <c r="U21" i="34" s="1"/>
  <c r="V19" i="34"/>
  <c r="V21" i="34" s="1"/>
  <c r="W19" i="34"/>
  <c r="W21" i="34" s="1"/>
  <c r="X19" i="34"/>
  <c r="X21" i="34" s="1"/>
  <c r="Y19" i="34"/>
  <c r="Y21" i="34" s="1"/>
  <c r="Z19" i="34"/>
  <c r="Z21" i="34" s="1"/>
  <c r="AA19" i="34"/>
  <c r="AB19" i="34"/>
  <c r="K21" i="34"/>
  <c r="O21" i="34"/>
  <c r="P21" i="34"/>
  <c r="AD20" i="34"/>
  <c r="AH10" i="34" s="1"/>
  <c r="AE20" i="34"/>
  <c r="G21" i="34"/>
  <c r="H21" i="34"/>
  <c r="J21" i="34"/>
  <c r="AA21" i="34"/>
  <c r="AB21" i="34"/>
  <c r="AH8" i="34" l="1"/>
  <c r="AI8" i="34" s="1"/>
  <c r="AH17" i="34"/>
  <c r="AI17" i="34" s="1"/>
  <c r="AH7" i="34"/>
  <c r="AH19" i="34" l="1"/>
  <c r="AH21" i="34" s="1"/>
  <c r="AI21" i="34" s="1"/>
  <c r="AM21" i="34" s="1"/>
  <c r="AI7" i="34"/>
  <c r="AI19" i="34" s="1"/>
  <c r="AL21" i="21" l="1"/>
  <c r="X50" i="16" l="1"/>
  <c r="X49" i="16"/>
  <c r="X48" i="16"/>
  <c r="X47" i="16"/>
  <c r="X46" i="16"/>
  <c r="X45" i="16"/>
  <c r="X44" i="16"/>
  <c r="X43" i="16"/>
  <c r="X41" i="16"/>
  <c r="X39" i="16"/>
  <c r="V50" i="16"/>
  <c r="V49" i="16"/>
  <c r="V48" i="16"/>
  <c r="V47" i="16"/>
  <c r="V46" i="16"/>
  <c r="V45" i="16"/>
  <c r="V44" i="16"/>
  <c r="V43" i="16"/>
  <c r="V41" i="16"/>
  <c r="V40" i="16"/>
  <c r="I22" i="16"/>
  <c r="X33" i="16"/>
  <c r="X32" i="16"/>
  <c r="X31" i="16"/>
  <c r="X30" i="16"/>
  <c r="X29" i="16"/>
  <c r="X28" i="16"/>
  <c r="X27" i="16"/>
  <c r="X26" i="16"/>
  <c r="X23" i="16"/>
  <c r="W33" i="16"/>
  <c r="W32" i="16"/>
  <c r="W31" i="16"/>
  <c r="W30" i="16"/>
  <c r="W29" i="16"/>
  <c r="W28" i="16"/>
  <c r="W27" i="16"/>
  <c r="W26" i="16"/>
  <c r="W23" i="16"/>
  <c r="V33" i="16"/>
  <c r="V32" i="16"/>
  <c r="V31" i="16"/>
  <c r="V30" i="16"/>
  <c r="V29" i="16"/>
  <c r="V28" i="16"/>
  <c r="V27" i="16"/>
  <c r="I50" i="16"/>
  <c r="I49" i="16"/>
  <c r="I48" i="16"/>
  <c r="I47" i="16"/>
  <c r="I46" i="16"/>
  <c r="I45" i="16"/>
  <c r="I44" i="16"/>
  <c r="I43" i="16"/>
  <c r="I41" i="16"/>
  <c r="I33" i="16"/>
  <c r="I32" i="16"/>
  <c r="I31" i="16"/>
  <c r="I30" i="16"/>
  <c r="I29" i="16"/>
  <c r="I28" i="16"/>
  <c r="I27" i="16"/>
  <c r="I26" i="16"/>
  <c r="I16" i="16"/>
  <c r="I15" i="16"/>
  <c r="K16" i="16" s="1"/>
  <c r="I14" i="16"/>
  <c r="K15" i="16" s="1"/>
  <c r="I13" i="16"/>
  <c r="K14" i="16" s="1"/>
  <c r="I12" i="16"/>
  <c r="K13" i="16" s="1"/>
  <c r="I11" i="16"/>
  <c r="K12" i="16" s="1"/>
  <c r="I10" i="16"/>
  <c r="K11" i="16" s="1"/>
  <c r="I9" i="16"/>
  <c r="V26" i="16"/>
  <c r="V23" i="16"/>
  <c r="AH16" i="8"/>
  <c r="K9" i="16" l="1"/>
  <c r="K10" i="16"/>
  <c r="X40" i="16"/>
  <c r="X38" i="16"/>
  <c r="X37" i="16"/>
  <c r="W40" i="16"/>
  <c r="W39" i="16"/>
  <c r="W38" i="16"/>
  <c r="W37" i="16"/>
  <c r="V39" i="16"/>
  <c r="V38" i="16"/>
  <c r="V37" i="16"/>
  <c r="I39" i="16" l="1"/>
  <c r="AL21" i="22"/>
  <c r="AI21" i="23"/>
  <c r="I38" i="16" s="1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G11" i="24"/>
  <c r="G19" i="24" s="1"/>
  <c r="E11" i="24"/>
  <c r="AD7" i="24"/>
  <c r="AC8" i="24"/>
  <c r="AC9" i="24"/>
  <c r="AC10" i="24"/>
  <c r="AC11" i="24"/>
  <c r="AC12" i="24"/>
  <c r="AC13" i="24"/>
  <c r="AC14" i="24"/>
  <c r="AC15" i="24"/>
  <c r="AC16" i="24"/>
  <c r="AC17" i="24"/>
  <c r="AC18" i="24"/>
  <c r="AC7" i="24"/>
  <c r="AI21" i="24"/>
  <c r="I37" i="16" s="1"/>
  <c r="E19" i="24"/>
  <c r="AF7" i="22"/>
  <c r="AG7" i="22"/>
  <c r="AF8" i="22"/>
  <c r="AG8" i="22"/>
  <c r="AF9" i="22"/>
  <c r="AG9" i="22"/>
  <c r="AF10" i="22"/>
  <c r="AG10" i="22"/>
  <c r="AF11" i="22"/>
  <c r="AG11" i="22"/>
  <c r="AF12" i="22"/>
  <c r="AG12" i="22"/>
  <c r="AF13" i="22"/>
  <c r="AG13" i="22"/>
  <c r="AH13" i="22"/>
  <c r="AF14" i="22"/>
  <c r="AG14" i="22"/>
  <c r="AH14" i="22"/>
  <c r="AF15" i="22"/>
  <c r="AG15" i="22"/>
  <c r="AF16" i="22"/>
  <c r="AG16" i="22"/>
  <c r="AF17" i="22"/>
  <c r="AG17" i="22"/>
  <c r="AF18" i="22"/>
  <c r="AG18" i="22"/>
  <c r="AB20" i="24"/>
  <c r="AE7" i="24" s="1"/>
  <c r="AA20" i="24"/>
  <c r="Y20" i="24"/>
  <c r="X20" i="24"/>
  <c r="W20" i="24"/>
  <c r="V20" i="24"/>
  <c r="U20" i="24"/>
  <c r="T20" i="24"/>
  <c r="S20" i="24"/>
  <c r="R20" i="24"/>
  <c r="Q20" i="24"/>
  <c r="O20" i="24"/>
  <c r="M20" i="24"/>
  <c r="K20" i="24"/>
  <c r="J20" i="24"/>
  <c r="H20" i="24"/>
  <c r="G20" i="24"/>
  <c r="E20" i="24"/>
  <c r="D20" i="24"/>
  <c r="C20" i="24"/>
  <c r="B20" i="24"/>
  <c r="AB19" i="24"/>
  <c r="AA19" i="24"/>
  <c r="Z19" i="24"/>
  <c r="Z21" i="24" s="1"/>
  <c r="Y19" i="24"/>
  <c r="X19" i="24"/>
  <c r="W19" i="24"/>
  <c r="V19" i="24"/>
  <c r="U19" i="24"/>
  <c r="T19" i="24"/>
  <c r="S19" i="24"/>
  <c r="R19" i="24"/>
  <c r="R21" i="24" s="1"/>
  <c r="Q19" i="24"/>
  <c r="P19" i="24"/>
  <c r="P21" i="24" s="1"/>
  <c r="O19" i="24"/>
  <c r="N19" i="24"/>
  <c r="N21" i="24" s="1"/>
  <c r="M19" i="24"/>
  <c r="L19" i="24"/>
  <c r="L21" i="24" s="1"/>
  <c r="K19" i="24"/>
  <c r="J19" i="24"/>
  <c r="I19" i="24"/>
  <c r="I21" i="24" s="1"/>
  <c r="H19" i="24"/>
  <c r="F19" i="24"/>
  <c r="F21" i="24" s="1"/>
  <c r="D19" i="24"/>
  <c r="C19" i="24"/>
  <c r="C21" i="24" s="1"/>
  <c r="B19" i="24"/>
  <c r="AD18" i="24"/>
  <c r="AD17" i="24"/>
  <c r="AD16" i="24"/>
  <c r="AD15" i="24"/>
  <c r="AD14" i="24"/>
  <c r="AD13" i="24"/>
  <c r="AD12" i="24"/>
  <c r="AD11" i="24"/>
  <c r="AD10" i="24"/>
  <c r="AD9" i="24"/>
  <c r="AD8" i="24"/>
  <c r="AB20" i="23"/>
  <c r="AA20" i="23"/>
  <c r="Y20" i="23"/>
  <c r="X20" i="23"/>
  <c r="W20" i="23"/>
  <c r="V20" i="23"/>
  <c r="U20" i="23"/>
  <c r="T20" i="23"/>
  <c r="S20" i="23"/>
  <c r="R20" i="23"/>
  <c r="Q20" i="23"/>
  <c r="O20" i="23"/>
  <c r="M20" i="23"/>
  <c r="K20" i="23"/>
  <c r="J20" i="23"/>
  <c r="H20" i="23"/>
  <c r="G20" i="23"/>
  <c r="E20" i="23"/>
  <c r="D20" i="23"/>
  <c r="C20" i="23"/>
  <c r="B20" i="23"/>
  <c r="AB19" i="23"/>
  <c r="AA19" i="23"/>
  <c r="Z19" i="23"/>
  <c r="Z21" i="23" s="1"/>
  <c r="Y19" i="23"/>
  <c r="X19" i="23"/>
  <c r="W19" i="23"/>
  <c r="V19" i="23"/>
  <c r="U19" i="23"/>
  <c r="T19" i="23"/>
  <c r="S19" i="23"/>
  <c r="R19" i="23"/>
  <c r="Q19" i="23"/>
  <c r="P19" i="23"/>
  <c r="P21" i="23" s="1"/>
  <c r="O19" i="23"/>
  <c r="N19" i="23"/>
  <c r="N21" i="23" s="1"/>
  <c r="M19" i="23"/>
  <c r="M21" i="23" s="1"/>
  <c r="L19" i="23"/>
  <c r="L21" i="23" s="1"/>
  <c r="K19" i="23"/>
  <c r="J19" i="23"/>
  <c r="I19" i="23"/>
  <c r="I21" i="23" s="1"/>
  <c r="H19" i="23"/>
  <c r="G19" i="23"/>
  <c r="F19" i="23"/>
  <c r="F21" i="23" s="1"/>
  <c r="E19" i="23"/>
  <c r="D19" i="23"/>
  <c r="C19" i="23"/>
  <c r="B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E20" i="22"/>
  <c r="AD20" i="22"/>
  <c r="AH9" i="22" s="1"/>
  <c r="AB20" i="22"/>
  <c r="AA20" i="22"/>
  <c r="Z20" i="22"/>
  <c r="Y20" i="22"/>
  <c r="X20" i="22"/>
  <c r="W20" i="22"/>
  <c r="V20" i="22"/>
  <c r="U20" i="22"/>
  <c r="T20" i="22"/>
  <c r="S20" i="22"/>
  <c r="R20" i="22"/>
  <c r="P20" i="22"/>
  <c r="N20" i="22"/>
  <c r="L20" i="22"/>
  <c r="K20" i="22"/>
  <c r="J20" i="22"/>
  <c r="H20" i="22"/>
  <c r="G20" i="22"/>
  <c r="E20" i="22"/>
  <c r="D20" i="22"/>
  <c r="C20" i="22"/>
  <c r="B20" i="22"/>
  <c r="AE19" i="22"/>
  <c r="AE21" i="22" s="1"/>
  <c r="AD19" i="22"/>
  <c r="AD21" i="22" s="1"/>
  <c r="AC19" i="22"/>
  <c r="AC21" i="22" s="1"/>
  <c r="AB19" i="22"/>
  <c r="AA19" i="22"/>
  <c r="AA21" i="22" s="1"/>
  <c r="Z19" i="22"/>
  <c r="Y19" i="22"/>
  <c r="X19" i="22"/>
  <c r="X21" i="22" s="1"/>
  <c r="W19" i="22"/>
  <c r="W21" i="22" s="1"/>
  <c r="V19" i="22"/>
  <c r="V21" i="22" s="1"/>
  <c r="U19" i="22"/>
  <c r="U21" i="22" s="1"/>
  <c r="T19" i="22"/>
  <c r="S19" i="22"/>
  <c r="S21" i="22" s="1"/>
  <c r="R19" i="22"/>
  <c r="Q19" i="22"/>
  <c r="Q21" i="22" s="1"/>
  <c r="P19" i="22"/>
  <c r="O19" i="22"/>
  <c r="O21" i="22" s="1"/>
  <c r="N19" i="22"/>
  <c r="N21" i="22" s="1"/>
  <c r="M19" i="22"/>
  <c r="M21" i="22" s="1"/>
  <c r="L19" i="22"/>
  <c r="L21" i="22" s="1"/>
  <c r="K19" i="22"/>
  <c r="K21" i="22" s="1"/>
  <c r="J19" i="22"/>
  <c r="J21" i="22" s="1"/>
  <c r="I19" i="22"/>
  <c r="I21" i="22" s="1"/>
  <c r="H19" i="22"/>
  <c r="G19" i="22"/>
  <c r="G21" i="22" s="1"/>
  <c r="F19" i="22"/>
  <c r="F21" i="22" s="1"/>
  <c r="E19" i="22"/>
  <c r="D19" i="22"/>
  <c r="C19" i="22"/>
  <c r="C21" i="22" s="1"/>
  <c r="B19" i="22"/>
  <c r="AE20" i="21"/>
  <c r="AD20" i="21"/>
  <c r="AB20" i="21"/>
  <c r="AA20" i="21"/>
  <c r="Z20" i="21"/>
  <c r="Y20" i="21"/>
  <c r="X20" i="21"/>
  <c r="W20" i="21"/>
  <c r="V20" i="21"/>
  <c r="U20" i="21"/>
  <c r="T20" i="21"/>
  <c r="S20" i="21"/>
  <c r="R20" i="21"/>
  <c r="P20" i="21"/>
  <c r="N20" i="21"/>
  <c r="L20" i="21"/>
  <c r="K20" i="21"/>
  <c r="J20" i="21"/>
  <c r="H20" i="21"/>
  <c r="G20" i="21"/>
  <c r="E20" i="21"/>
  <c r="D20" i="21"/>
  <c r="C20" i="21"/>
  <c r="B20" i="21"/>
  <c r="AE19" i="21"/>
  <c r="AE21" i="21" s="1"/>
  <c r="AD19" i="21"/>
  <c r="AD21" i="21" s="1"/>
  <c r="AC19" i="21"/>
  <c r="AC21" i="21" s="1"/>
  <c r="AB19" i="21"/>
  <c r="AB21" i="21" s="1"/>
  <c r="AA19" i="21"/>
  <c r="AA21" i="21" s="1"/>
  <c r="Z19" i="21"/>
  <c r="Y19" i="21"/>
  <c r="X19" i="21"/>
  <c r="W19" i="21"/>
  <c r="W21" i="21" s="1"/>
  <c r="V19" i="21"/>
  <c r="V21" i="21" s="1"/>
  <c r="U19" i="21"/>
  <c r="U21" i="21" s="1"/>
  <c r="T19" i="21"/>
  <c r="T21" i="21" s="1"/>
  <c r="S19" i="21"/>
  <c r="S21" i="21" s="1"/>
  <c r="R19" i="21"/>
  <c r="Q19" i="21"/>
  <c r="Q21" i="21" s="1"/>
  <c r="P19" i="21"/>
  <c r="O19" i="21"/>
  <c r="O21" i="21" s="1"/>
  <c r="N19" i="21"/>
  <c r="M19" i="21"/>
  <c r="M21" i="21" s="1"/>
  <c r="L19" i="21"/>
  <c r="L21" i="21" s="1"/>
  <c r="K19" i="21"/>
  <c r="K21" i="21" s="1"/>
  <c r="J19" i="21"/>
  <c r="J21" i="21" s="1"/>
  <c r="I19" i="21"/>
  <c r="I21" i="21" s="1"/>
  <c r="H19" i="21"/>
  <c r="H21" i="21" s="1"/>
  <c r="G19" i="21"/>
  <c r="G21" i="21" s="1"/>
  <c r="F19" i="21"/>
  <c r="F21" i="21" s="1"/>
  <c r="E19" i="21"/>
  <c r="D19" i="21"/>
  <c r="C19" i="21"/>
  <c r="B19" i="21"/>
  <c r="AH18" i="21"/>
  <c r="AG18" i="21"/>
  <c r="AF18" i="21"/>
  <c r="AH17" i="21"/>
  <c r="AG17" i="21"/>
  <c r="AF17" i="21"/>
  <c r="AH16" i="21"/>
  <c r="AG16" i="21"/>
  <c r="AF16" i="21"/>
  <c r="AH15" i="21"/>
  <c r="AG15" i="21"/>
  <c r="AF15" i="21"/>
  <c r="AH14" i="21"/>
  <c r="AG14" i="21"/>
  <c r="AF14" i="21"/>
  <c r="AH13" i="21"/>
  <c r="AG13" i="21"/>
  <c r="AF13" i="21"/>
  <c r="AH12" i="21"/>
  <c r="AG12" i="21"/>
  <c r="AF12" i="21"/>
  <c r="AH11" i="21"/>
  <c r="AG11" i="21"/>
  <c r="AF11" i="21"/>
  <c r="AH10" i="21"/>
  <c r="AG10" i="21"/>
  <c r="AF10" i="21"/>
  <c r="AH9" i="21"/>
  <c r="AG9" i="21"/>
  <c r="AF9" i="21"/>
  <c r="AH8" i="21"/>
  <c r="AG8" i="21"/>
  <c r="AF8" i="21"/>
  <c r="AH7" i="21"/>
  <c r="AG7" i="21"/>
  <c r="AF7" i="21"/>
  <c r="AG8" i="8"/>
  <c r="AG9" i="8"/>
  <c r="AG10" i="8"/>
  <c r="AG11" i="8"/>
  <c r="AG12" i="8"/>
  <c r="AG13" i="8"/>
  <c r="AG14" i="8"/>
  <c r="AG15" i="8"/>
  <c r="AG16" i="8"/>
  <c r="AG17" i="8"/>
  <c r="AG18" i="8"/>
  <c r="AF8" i="8"/>
  <c r="AF9" i="8"/>
  <c r="AF10" i="8"/>
  <c r="AF11" i="8"/>
  <c r="AF12" i="8"/>
  <c r="AF13" i="8"/>
  <c r="AF14" i="8"/>
  <c r="AF15" i="8"/>
  <c r="AF16" i="8"/>
  <c r="AF17" i="8"/>
  <c r="AF18" i="8"/>
  <c r="AF7" i="8"/>
  <c r="AI8" i="21" l="1"/>
  <c r="AI11" i="21"/>
  <c r="AI9" i="21"/>
  <c r="AI16" i="21"/>
  <c r="AI14" i="21"/>
  <c r="AI17" i="21"/>
  <c r="AI15" i="21"/>
  <c r="N21" i="21"/>
  <c r="AI18" i="21"/>
  <c r="AI13" i="21"/>
  <c r="P21" i="21"/>
  <c r="X21" i="21"/>
  <c r="B21" i="21"/>
  <c r="AH11" i="22"/>
  <c r="D21" i="22"/>
  <c r="T21" i="22"/>
  <c r="AB21" i="22"/>
  <c r="AH16" i="22"/>
  <c r="AI14" i="22"/>
  <c r="AH8" i="22"/>
  <c r="AH19" i="22" s="1"/>
  <c r="AH21" i="22" s="1"/>
  <c r="X22" i="16" s="1"/>
  <c r="AH18" i="22"/>
  <c r="AI18" i="22" s="1"/>
  <c r="AH10" i="22"/>
  <c r="AI10" i="22" s="1"/>
  <c r="AI8" i="22"/>
  <c r="AH15" i="22"/>
  <c r="AH7" i="22"/>
  <c r="H21" i="22"/>
  <c r="P21" i="22"/>
  <c r="AH12" i="22"/>
  <c r="AI12" i="22" s="1"/>
  <c r="Y21" i="22"/>
  <c r="AH17" i="22"/>
  <c r="AI17" i="22" s="1"/>
  <c r="AE16" i="23"/>
  <c r="AF16" i="23" s="1"/>
  <c r="J21" i="23"/>
  <c r="T21" i="24"/>
  <c r="AI16" i="22"/>
  <c r="AI9" i="22"/>
  <c r="AI11" i="22"/>
  <c r="AI13" i="22"/>
  <c r="AI15" i="22"/>
  <c r="AI7" i="22"/>
  <c r="S21" i="23"/>
  <c r="AE8" i="23"/>
  <c r="AF8" i="23" s="1"/>
  <c r="T21" i="23"/>
  <c r="E21" i="23"/>
  <c r="U21" i="23"/>
  <c r="R21" i="23"/>
  <c r="W21" i="23"/>
  <c r="Q21" i="23"/>
  <c r="Y21" i="23"/>
  <c r="B21" i="23"/>
  <c r="AE17" i="23"/>
  <c r="AF17" i="23" s="1"/>
  <c r="V21" i="23"/>
  <c r="X21" i="23"/>
  <c r="D21" i="23"/>
  <c r="AE14" i="23"/>
  <c r="AF14" i="23" s="1"/>
  <c r="O21" i="23"/>
  <c r="AE18" i="23"/>
  <c r="AF18" i="23" s="1"/>
  <c r="AE12" i="23"/>
  <c r="AF12" i="23" s="1"/>
  <c r="H21" i="23"/>
  <c r="C21" i="23"/>
  <c r="K21" i="23"/>
  <c r="G21" i="23"/>
  <c r="AA21" i="23"/>
  <c r="AD19" i="23"/>
  <c r="AD21" i="23" s="1"/>
  <c r="W21" i="16" s="1"/>
  <c r="AE10" i="23"/>
  <c r="AF10" i="23" s="1"/>
  <c r="AB21" i="23"/>
  <c r="O21" i="24"/>
  <c r="W21" i="24"/>
  <c r="X21" i="24"/>
  <c r="AE10" i="24"/>
  <c r="AF10" i="24" s="1"/>
  <c r="U21" i="24"/>
  <c r="D21" i="24"/>
  <c r="V21" i="24"/>
  <c r="Q21" i="24"/>
  <c r="Y21" i="24"/>
  <c r="S21" i="24"/>
  <c r="AB21" i="24"/>
  <c r="AE17" i="24"/>
  <c r="AF17" i="24" s="1"/>
  <c r="AE13" i="24"/>
  <c r="AF13" i="24" s="1"/>
  <c r="AA21" i="24"/>
  <c r="AD19" i="24"/>
  <c r="AD21" i="24" s="1"/>
  <c r="W20" i="16" s="1"/>
  <c r="AE14" i="24"/>
  <c r="AF14" i="24" s="1"/>
  <c r="AE18" i="24"/>
  <c r="AF18" i="24" s="1"/>
  <c r="J21" i="24"/>
  <c r="AE15" i="24"/>
  <c r="AF15" i="24" s="1"/>
  <c r="K21" i="24"/>
  <c r="B21" i="24"/>
  <c r="AE16" i="24"/>
  <c r="AF16" i="24" s="1"/>
  <c r="M21" i="24"/>
  <c r="AE8" i="24"/>
  <c r="AF8" i="24" s="1"/>
  <c r="AE11" i="24"/>
  <c r="E21" i="24"/>
  <c r="H21" i="24"/>
  <c r="AE9" i="24"/>
  <c r="AF9" i="24" s="1"/>
  <c r="AE12" i="24"/>
  <c r="AF12" i="24" s="1"/>
  <c r="G21" i="24"/>
  <c r="AF7" i="24"/>
  <c r="B21" i="22"/>
  <c r="E21" i="22"/>
  <c r="R21" i="22"/>
  <c r="Z21" i="22"/>
  <c r="AG19" i="22"/>
  <c r="AG21" i="22" s="1"/>
  <c r="W22" i="16" s="1"/>
  <c r="AF19" i="22"/>
  <c r="AF21" i="22" s="1"/>
  <c r="V22" i="16" s="1"/>
  <c r="AF11" i="23"/>
  <c r="AC19" i="23"/>
  <c r="AC21" i="23" s="1"/>
  <c r="V21" i="16" s="1"/>
  <c r="AE7" i="23"/>
  <c r="AE9" i="23"/>
  <c r="AF9" i="23" s="1"/>
  <c r="AE11" i="23"/>
  <c r="AE13" i="23"/>
  <c r="AF13" i="23" s="1"/>
  <c r="AE15" i="23"/>
  <c r="AF15" i="23" s="1"/>
  <c r="AF19" i="21"/>
  <c r="AF21" i="21" s="1"/>
  <c r="C21" i="21"/>
  <c r="AG19" i="21"/>
  <c r="AG21" i="21" s="1"/>
  <c r="AI12" i="21"/>
  <c r="D21" i="21"/>
  <c r="Y21" i="21"/>
  <c r="AI7" i="21"/>
  <c r="AI10" i="21"/>
  <c r="E21" i="21"/>
  <c r="R21" i="21"/>
  <c r="Z21" i="21"/>
  <c r="AH19" i="21"/>
  <c r="AH21" i="21" s="1"/>
  <c r="X24" i="16" s="1"/>
  <c r="AG7" i="8"/>
  <c r="W24" i="16" l="1"/>
  <c r="AI21" i="21"/>
  <c r="V24" i="16"/>
  <c r="AI19" i="21"/>
  <c r="AE19" i="23"/>
  <c r="AE21" i="23" s="1"/>
  <c r="X21" i="16" s="1"/>
  <c r="AF11" i="24"/>
  <c r="AF19" i="24" s="1"/>
  <c r="AE19" i="24"/>
  <c r="AE21" i="24" s="1"/>
  <c r="X20" i="16" s="1"/>
  <c r="AC19" i="24"/>
  <c r="AC21" i="24" s="1"/>
  <c r="V20" i="16" s="1"/>
  <c r="AI21" i="22"/>
  <c r="AI19" i="22"/>
  <c r="AF7" i="23"/>
  <c r="AF19" i="23" s="1"/>
  <c r="AF21" i="23"/>
  <c r="AM21" i="21" l="1"/>
  <c r="I7" i="16" s="1"/>
  <c r="I24" i="16"/>
  <c r="AJ21" i="23"/>
  <c r="I4" i="16" s="1"/>
  <c r="I21" i="16"/>
  <c r="AM21" i="22"/>
  <c r="I5" i="16" s="1"/>
  <c r="AF21" i="24"/>
  <c r="AJ21" i="24" l="1"/>
  <c r="I3" i="16" s="1"/>
  <c r="I20" i="16"/>
  <c r="AL21" i="8"/>
  <c r="I40" i="16" s="1"/>
  <c r="AA20" i="8" l="1"/>
  <c r="AA19" i="8"/>
  <c r="S20" i="8"/>
  <c r="S19" i="8"/>
  <c r="X20" i="8"/>
  <c r="X19" i="8"/>
  <c r="W20" i="8"/>
  <c r="W19" i="8"/>
  <c r="V20" i="8"/>
  <c r="V19" i="8"/>
  <c r="U20" i="8"/>
  <c r="U19" i="8"/>
  <c r="K20" i="8"/>
  <c r="K19" i="8"/>
  <c r="J20" i="8"/>
  <c r="J19" i="8"/>
  <c r="C20" i="8"/>
  <c r="C19" i="8"/>
  <c r="E20" i="8"/>
  <c r="E19" i="8"/>
  <c r="E21" i="8" l="1"/>
  <c r="K21" i="8"/>
  <c r="X21" i="8"/>
  <c r="C21" i="8"/>
  <c r="V21" i="8"/>
  <c r="J21" i="8"/>
  <c r="AA21" i="8"/>
  <c r="W21" i="8"/>
  <c r="U21" i="8"/>
  <c r="S21" i="8"/>
  <c r="G19" i="8" l="1"/>
  <c r="B19" i="8"/>
  <c r="D19" i="8"/>
  <c r="R19" i="8"/>
  <c r="H19" i="8"/>
  <c r="Z19" i="8"/>
  <c r="L19" i="8"/>
  <c r="O19" i="8"/>
  <c r="F19" i="8"/>
  <c r="I19" i="8"/>
  <c r="M19" i="8"/>
  <c r="AC19" i="8"/>
  <c r="AD19" i="8"/>
  <c r="AE19" i="8"/>
  <c r="P19" i="8"/>
  <c r="Y19" i="8"/>
  <c r="T19" i="8"/>
  <c r="N19" i="8"/>
  <c r="AB19" i="8"/>
  <c r="Q19" i="8"/>
  <c r="M21" i="8" l="1"/>
  <c r="AB20" i="8"/>
  <c r="AB21" i="8" s="1"/>
  <c r="N20" i="8"/>
  <c r="N21" i="8" s="1"/>
  <c r="AC21" i="8" l="1"/>
  <c r="Z20" i="8"/>
  <c r="Y20" i="8"/>
  <c r="T20" i="8"/>
  <c r="Z21" i="8" l="1"/>
  <c r="Y21" i="8"/>
  <c r="T21" i="8"/>
  <c r="O21" i="8"/>
  <c r="F21" i="8"/>
  <c r="I21" i="8"/>
  <c r="AD20" i="8"/>
  <c r="AE20" i="8"/>
  <c r="AH7" i="8" l="1"/>
  <c r="AH9" i="8"/>
  <c r="AH17" i="8"/>
  <c r="AH8" i="8"/>
  <c r="AH10" i="8"/>
  <c r="AH18" i="8"/>
  <c r="AH12" i="8"/>
  <c r="AH11" i="8"/>
  <c r="AH13" i="8"/>
  <c r="AH15" i="8"/>
  <c r="AH14" i="8"/>
  <c r="AD21" i="8"/>
  <c r="AE21" i="8"/>
  <c r="AI17" i="8"/>
  <c r="P20" i="8"/>
  <c r="B20" i="8"/>
  <c r="D20" i="8"/>
  <c r="R20" i="8"/>
  <c r="H20" i="8"/>
  <c r="L20" i="8"/>
  <c r="G20" i="8"/>
  <c r="AI9" i="8" l="1"/>
  <c r="AI15" i="8"/>
  <c r="AI7" i="8"/>
  <c r="AI10" i="8"/>
  <c r="AI14" i="8"/>
  <c r="AI11" i="8"/>
  <c r="AI16" i="8"/>
  <c r="AI8" i="8"/>
  <c r="AI13" i="8"/>
  <c r="AI12" i="8"/>
  <c r="AI18" i="8"/>
  <c r="H21" i="8"/>
  <c r="R21" i="8"/>
  <c r="AH19" i="8" l="1"/>
  <c r="AH21" i="8" s="1"/>
  <c r="L21" i="8" l="1"/>
  <c r="G21" i="8" l="1"/>
  <c r="D21" i="8"/>
  <c r="AF19" i="8" l="1"/>
  <c r="B21" i="8"/>
  <c r="Q21" i="8"/>
  <c r="P21" i="8"/>
  <c r="AG19" i="8" l="1"/>
  <c r="AG21" i="8" s="1"/>
  <c r="AF21" i="8" l="1"/>
  <c r="AI21" i="8" l="1"/>
  <c r="AM21" i="8" s="1"/>
  <c r="I6" i="16" s="1"/>
  <c r="I23" i="16"/>
  <c r="AI19" i="8"/>
</calcChain>
</file>

<file path=xl/sharedStrings.xml><?xml version="1.0" encoding="utf-8"?>
<sst xmlns="http://schemas.openxmlformats.org/spreadsheetml/2006/main" count="1284" uniqueCount="163">
  <si>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</si>
  <si>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</si>
  <si>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</si>
  <si>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</si>
  <si>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</si>
  <si>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</si>
  <si>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</si>
  <si>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</si>
  <si>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</si>
  <si>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</si>
  <si>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</si>
  <si>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</si>
  <si>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Transit Shed</t>
  </si>
  <si>
    <t>East Warehouse</t>
  </si>
  <si>
    <t>Annual Total</t>
  </si>
  <si>
    <t>[kwh]</t>
  </si>
  <si>
    <t>[gal]</t>
  </si>
  <si>
    <t>Cargo Transported</t>
  </si>
  <si>
    <t>-</t>
  </si>
  <si>
    <t>Clure Terminal Expansion</t>
  </si>
  <si>
    <t>East Warehouse Annex</t>
  </si>
  <si>
    <t>Backup Warehouse</t>
  </si>
  <si>
    <t>https://www.epa.gov/energy/greenhouse-gases-equivalencies-calculator-calculations-and-references</t>
  </si>
  <si>
    <t>Total CO2 [Metric Ton]</t>
  </si>
  <si>
    <t>802 Helberg Dr Dock Power</t>
  </si>
  <si>
    <t>Meter House</t>
  </si>
  <si>
    <t>EMP514305</t>
  </si>
  <si>
    <t xml:space="preserve">900 Arthur Ave </t>
  </si>
  <si>
    <t>1310 Port Terminal Dr #51</t>
  </si>
  <si>
    <t>1240 Port Terminal Dr</t>
  </si>
  <si>
    <t>230523968-002</t>
  </si>
  <si>
    <t>270761935-007</t>
  </si>
  <si>
    <t>1310 Port Terminal Dr #EW</t>
  </si>
  <si>
    <t>230523966-001</t>
  </si>
  <si>
    <t>1210 Port Terminal Rd New</t>
  </si>
  <si>
    <t>1210 Port Terminal Dr Transit Shed</t>
  </si>
  <si>
    <t xml:space="preserve">1310 Port Terminal Rd </t>
  </si>
  <si>
    <t xml:space="preserve">EMP574342 </t>
  </si>
  <si>
    <t>EMP574241</t>
  </si>
  <si>
    <t>270762050-002</t>
  </si>
  <si>
    <t>Request consumption analysis on Comfort Systems website</t>
  </si>
  <si>
    <t>Conversion Factor*</t>
  </si>
  <si>
    <t>LSW</t>
  </si>
  <si>
    <t>DSPA</t>
  </si>
  <si>
    <t>Grouping</t>
  </si>
  <si>
    <r>
      <rPr>
        <sz val="11"/>
        <color theme="1"/>
        <rFont val="Calibri"/>
        <family val="2"/>
        <scheme val="minor"/>
      </rPr>
      <t>Access LSW or DSPA MN Power account for readings</t>
    </r>
  </si>
  <si>
    <t>Street Lights</t>
  </si>
  <si>
    <t xml:space="preserve">Meter House </t>
  </si>
  <si>
    <t xml:space="preserve">EMP500012  </t>
  </si>
  <si>
    <t>EMP613361</t>
  </si>
  <si>
    <t xml:space="preserve">Spad Water Meter House </t>
  </si>
  <si>
    <t>Port Terminal &amp; Pine Rd</t>
  </si>
  <si>
    <t>Spad Berth #4</t>
  </si>
  <si>
    <t>EMP571960</t>
  </si>
  <si>
    <t xml:space="preserve">EMP629227     </t>
  </si>
  <si>
    <t>EMP570414</t>
  </si>
  <si>
    <t>Spad Berth #3</t>
  </si>
  <si>
    <t xml:space="preserve">Port Terminal Rd Trackside Readers </t>
  </si>
  <si>
    <t xml:space="preserve">802 Helberg Dr Berth 8 &amp; 9 </t>
  </si>
  <si>
    <t>802 Helberg Dr Berth 11</t>
  </si>
  <si>
    <t xml:space="preserve">EMP575644  </t>
  </si>
  <si>
    <t>EMP514294</t>
  </si>
  <si>
    <t>Berth 6 LED South Pier Expansion</t>
  </si>
  <si>
    <t>EMP557504</t>
  </si>
  <si>
    <t xml:space="preserve">Spad Berth #6-7 </t>
  </si>
  <si>
    <t xml:space="preserve">Berth 6 Ship Power Metered Lighting </t>
  </si>
  <si>
    <t xml:space="preserve">EMP575522     </t>
  </si>
  <si>
    <t>EMP576180</t>
  </si>
  <si>
    <t>1222 Port Terminal Dr Backup Whse</t>
  </si>
  <si>
    <t xml:space="preserve"> EMP573070</t>
  </si>
  <si>
    <t>EMP573653</t>
  </si>
  <si>
    <t xml:space="preserve"> 1240 Port Terminal Dr 16S</t>
  </si>
  <si>
    <t>1200 Port Terminal Rd</t>
  </si>
  <si>
    <t>EMP571976</t>
  </si>
  <si>
    <t>1110 Port Terminal Rd</t>
  </si>
  <si>
    <t>EMP574356</t>
  </si>
  <si>
    <t xml:space="preserve">940 Helberg Dr Bldg 51  </t>
  </si>
  <si>
    <t>EMP518400</t>
  </si>
  <si>
    <t>1210 Port Terminal Rd Crane</t>
  </si>
  <si>
    <t xml:space="preserve">EMP570280   </t>
  </si>
  <si>
    <t>EMP574232</t>
  </si>
  <si>
    <t xml:space="preserve">Spad Cgo Yard Liting </t>
  </si>
  <si>
    <t>Cargo Yard Lighting</t>
  </si>
  <si>
    <t>Gantry Crane</t>
  </si>
  <si>
    <t>Berth 11</t>
  </si>
  <si>
    <t>Berths 8 / 9</t>
  </si>
  <si>
    <t>Berth 3</t>
  </si>
  <si>
    <t>Berth 4</t>
  </si>
  <si>
    <t>Birth 6 Ship Lighting</t>
  </si>
  <si>
    <t>Berths 6 / 7</t>
  </si>
  <si>
    <t>DSPA Administration</t>
  </si>
  <si>
    <t>Trackside Readers</t>
  </si>
  <si>
    <t>Clure Terminal Miscellaneous</t>
  </si>
  <si>
    <t>Totals</t>
  </si>
  <si>
    <t>Berth 6 LED Expansion</t>
  </si>
  <si>
    <t xml:space="preserve">MN Power (Electrical) </t>
  </si>
  <si>
    <t>Combined</t>
  </si>
  <si>
    <t>BOTH</t>
  </si>
  <si>
    <t>[metric ton CO2]</t>
  </si>
  <si>
    <t>Backup Warehouse Lighting</t>
  </si>
  <si>
    <t>Lighting (CRH)</t>
  </si>
  <si>
    <t xml:space="preserve">EMP570746 </t>
  </si>
  <si>
    <t>[Units]</t>
  </si>
  <si>
    <t>[ccf]</t>
  </si>
  <si>
    <t>Warehousing</t>
  </si>
  <si>
    <t>Maritime</t>
  </si>
  <si>
    <t>Intermodal</t>
  </si>
  <si>
    <t>Total</t>
  </si>
  <si>
    <t>[Freight Tons]</t>
  </si>
  <si>
    <t>*Cargo Transported values from Duluth Cargo Connect (Jonathan Lamb)</t>
  </si>
  <si>
    <t>[lb CO2 / Freight Ton Cargo]</t>
  </si>
  <si>
    <t xml:space="preserve">Comfort Systems (Natural Gas) </t>
  </si>
  <si>
    <t xml:space="preserve"> </t>
  </si>
  <si>
    <t>1200 Port Terminal Dr*</t>
  </si>
  <si>
    <t>270761900-002</t>
  </si>
  <si>
    <t>1200 Port Terminal Dr</t>
  </si>
  <si>
    <t>Request Como Delivery Report from Rebecca Beebe</t>
  </si>
  <si>
    <t>Year</t>
  </si>
  <si>
    <t>CO2 [lb] / Total Cargo [Freight Ton]</t>
  </si>
  <si>
    <t>Access Designation</t>
  </si>
  <si>
    <t>This was done due to the temporary nature of 2020 office space alongside consistent employment count and usage</t>
  </si>
  <si>
    <t>1310 Building</t>
  </si>
  <si>
    <t>Foreign Trade Zone 51</t>
  </si>
  <si>
    <t xml:space="preserve">* Green house gas conversion factors derived from EPA:  </t>
  </si>
  <si>
    <t xml:space="preserve">CCF conversion factor from EIA:  </t>
  </si>
  <si>
    <t>https://www.eia.gov/energyexplained/units-and-calculators/energy-conversion-calculators.php</t>
  </si>
  <si>
    <t>Warehouses</t>
  </si>
  <si>
    <t>LSW Core Operations</t>
  </si>
  <si>
    <t xml:space="preserve">CO2 Emissions [Metric Ton] </t>
  </si>
  <si>
    <t>Como Oil</t>
  </si>
  <si>
    <t>Total Cargo [Freight Ton]</t>
  </si>
  <si>
    <t>Warehousing Cargo [Freight Ton]</t>
  </si>
  <si>
    <t>Maritime Cargo [Freight Ton]</t>
  </si>
  <si>
    <t>Intermodal Cargo [Freight Ton]</t>
  </si>
  <si>
    <t>230529420-003</t>
  </si>
  <si>
    <t>802 Garfield Ave</t>
  </si>
  <si>
    <t>EMP577621</t>
  </si>
  <si>
    <t>*Average monthly values from previous year (2017) are used to approximate these values</t>
  </si>
  <si>
    <t>This was done due to the temporary nature of 2019 office space alongside consistent employment count and usage</t>
  </si>
  <si>
    <t>MN Power Emissions [Metric Ton]</t>
  </si>
  <si>
    <t>Comfort Systems Emissions [Metric Ton]</t>
  </si>
  <si>
    <t>Como Oil Emissions [Metric Ton]</t>
  </si>
  <si>
    <t>31 LPG - Propane</t>
  </si>
  <si>
    <t>#1 Dyed Fuel Oil Uls</t>
  </si>
  <si>
    <t>86 Biodiesel Ultra #2</t>
  </si>
  <si>
    <t>#1 Fuel Oil (Winter Blend)</t>
  </si>
  <si>
    <t>#2 Fuel Oil  (Summer Blend)</t>
  </si>
  <si>
    <t>Como Oil (Propane/Fuel Oil)</t>
  </si>
  <si>
    <t>Propane  (Forklift Fuel)</t>
  </si>
  <si>
    <t>BIODIESEL</t>
  </si>
  <si>
    <t>OIL</t>
  </si>
  <si>
    <t>PROPANE</t>
  </si>
  <si>
    <t>Account Title</t>
  </si>
  <si>
    <t>UNLEADED</t>
  </si>
  <si>
    <t>*Tracking Waste Audit Results</t>
  </si>
  <si>
    <t>Account Manager</t>
  </si>
  <si>
    <t>Common Designation</t>
  </si>
  <si>
    <t>Waste Produced [lb]</t>
  </si>
  <si>
    <t>270761935-007 &amp; 270723950-003</t>
  </si>
  <si>
    <t>1130 Port Terminal Dr</t>
  </si>
  <si>
    <t>1310 Port Terminal Dr</t>
  </si>
  <si>
    <t>UPDATE - on this sheet we used updated carbon intensity for CO2 of 0.455 metric tons of CO2/MWh (0.000455 CO2/kwh) as provided by Kurt Anderson, Minnesota Power.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</si>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</sst>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"/>
    <numFmt numFmtId="166" formatCode="0.0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2">
    <xf numFmtId="0" fontId="0" fillId="0" borderId="0" xfId="0"/>
    <xf numFmtId="0" fontId="1" fillId="2" borderId="1" xfId="0" applyFont="1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0" fontId="0" fillId="0" borderId="0" xfId="0" applyBorder="1"/>
    <xf numFmtId="1" fontId="0" fillId="0" borderId="1" xfId="0" applyNumberFormat="1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4" fillId="0" borderId="0" xfId="1" applyFill="1" applyBorder="1"/>
    <xf numFmtId="0" fontId="0" fillId="0" borderId="0" xfId="0" applyFill="1" applyBorder="1" applyAlignment="1"/>
    <xf numFmtId="0" fontId="1" fillId="7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Fill="1" applyBorder="1"/>
    <xf numFmtId="164" fontId="0" fillId="0" borderId="11" xfId="0" applyNumberFormat="1" applyFill="1" applyBorder="1"/>
    <xf numFmtId="164" fontId="0" fillId="0" borderId="12" xfId="0" applyNumberFormat="1" applyFont="1" applyBorder="1"/>
    <xf numFmtId="0" fontId="0" fillId="3" borderId="12" xfId="0" applyFont="1" applyFill="1" applyBorder="1" applyAlignment="1">
      <alignment horizontal="center" vertical="center" wrapText="1"/>
    </xf>
    <xf numFmtId="1" fontId="0" fillId="3" borderId="12" xfId="0" applyNumberFormat="1" applyFill="1" applyBorder="1"/>
    <xf numFmtId="1" fontId="0" fillId="0" borderId="11" xfId="0" applyNumberFormat="1" applyFill="1" applyBorder="1"/>
    <xf numFmtId="0" fontId="0" fillId="0" borderId="11" xfId="0" applyBorder="1"/>
    <xf numFmtId="1" fontId="0" fillId="0" borderId="12" xfId="0" applyNumberFormat="1" applyBorder="1"/>
    <xf numFmtId="0" fontId="1" fillId="7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0" fillId="0" borderId="12" xfId="0" applyBorder="1"/>
    <xf numFmtId="164" fontId="0" fillId="0" borderId="12" xfId="0" applyNumberFormat="1" applyFill="1" applyBorder="1"/>
    <xf numFmtId="0" fontId="1" fillId="7" borderId="10" xfId="0" applyFont="1" applyFill="1" applyBorder="1" applyAlignment="1">
      <alignment horizontal="center" vertical="center" wrapText="1"/>
    </xf>
    <xf numFmtId="0" fontId="3" fillId="0" borderId="12" xfId="0" applyFont="1" applyBorder="1"/>
    <xf numFmtId="1" fontId="2" fillId="0" borderId="12" xfId="0" applyNumberFormat="1" applyFont="1" applyFill="1" applyBorder="1" applyAlignment="1">
      <alignment horizontal="right" vertical="top"/>
    </xf>
    <xf numFmtId="164" fontId="0" fillId="0" borderId="11" xfId="0" applyNumberFormat="1" applyBorder="1"/>
    <xf numFmtId="164" fontId="0" fillId="0" borderId="12" xfId="0" applyNumberFormat="1" applyBorder="1"/>
    <xf numFmtId="0" fontId="1" fillId="4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166" fontId="0" fillId="4" borderId="12" xfId="0" applyNumberFormat="1" applyFill="1" applyBorder="1"/>
    <xf numFmtId="0" fontId="0" fillId="3" borderId="16" xfId="0" applyFill="1" applyBorder="1" applyAlignment="1">
      <alignment horizontal="right"/>
    </xf>
    <xf numFmtId="1" fontId="0" fillId="0" borderId="1" xfId="0" applyNumberFormat="1" applyFont="1" applyBorder="1"/>
    <xf numFmtId="2" fontId="0" fillId="4" borderId="4" xfId="0" applyNumberFormat="1" applyFill="1" applyBorder="1"/>
    <xf numFmtId="0" fontId="4" fillId="0" borderId="0" xfId="1"/>
    <xf numFmtId="0" fontId="1" fillId="6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" fontId="0" fillId="0" borderId="3" xfId="0" applyNumberFormat="1" applyFill="1" applyBorder="1"/>
    <xf numFmtId="164" fontId="0" fillId="0" borderId="3" xfId="0" applyNumberFormat="1" applyFill="1" applyBorder="1"/>
    <xf numFmtId="1" fontId="0" fillId="0" borderId="12" xfId="0" applyNumberFormat="1" applyFont="1" applyBorder="1"/>
    <xf numFmtId="2" fontId="0" fillId="4" borderId="13" xfId="0" applyNumberFormat="1" applyFill="1" applyBorder="1"/>
    <xf numFmtId="2" fontId="0" fillId="4" borderId="15" xfId="0" applyNumberFormat="1" applyFill="1" applyBorder="1"/>
    <xf numFmtId="2" fontId="0" fillId="4" borderId="14" xfId="0" applyNumberFormat="1" applyFill="1" applyBorder="1"/>
    <xf numFmtId="2" fontId="0" fillId="4" borderId="19" xfId="0" applyNumberFormat="1" applyFill="1" applyBorder="1"/>
    <xf numFmtId="1" fontId="0" fillId="8" borderId="11" xfId="0" applyNumberFormat="1" applyFill="1" applyBorder="1"/>
    <xf numFmtId="1" fontId="0" fillId="8" borderId="1" xfId="0" applyNumberFormat="1" applyFill="1" applyBorder="1"/>
    <xf numFmtId="1" fontId="0" fillId="8" borderId="12" xfId="0" applyNumberFormat="1" applyFill="1" applyBorder="1"/>
    <xf numFmtId="1" fontId="0" fillId="8" borderId="3" xfId="0" applyNumberFormat="1" applyFill="1" applyBorder="1"/>
    <xf numFmtId="2" fontId="0" fillId="8" borderId="12" xfId="0" applyNumberFormat="1" applyFill="1" applyBorder="1"/>
    <xf numFmtId="0" fontId="0" fillId="0" borderId="1" xfId="0" applyBorder="1"/>
    <xf numFmtId="0" fontId="0" fillId="0" borderId="0" xfId="0" applyFill="1" applyBorder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/>
    <xf numFmtId="0" fontId="0" fillId="0" borderId="17" xfId="0" applyBorder="1" applyAlignment="1"/>
    <xf numFmtId="0" fontId="1" fillId="0" borderId="20" xfId="0" applyFont="1" applyBorder="1" applyAlignment="1">
      <alignment horizontal="left"/>
    </xf>
    <xf numFmtId="0" fontId="1" fillId="0" borderId="22" xfId="0" applyFont="1" applyFill="1" applyBorder="1"/>
    <xf numFmtId="166" fontId="0" fillId="2" borderId="11" xfId="0" applyNumberFormat="1" applyFill="1" applyBorder="1"/>
    <xf numFmtId="166" fontId="0" fillId="6" borderId="1" xfId="0" applyNumberFormat="1" applyFill="1" applyBorder="1"/>
    <xf numFmtId="166" fontId="0" fillId="7" borderId="1" xfId="0" applyNumberFormat="1" applyFill="1" applyBorder="1"/>
    <xf numFmtId="2" fontId="0" fillId="8" borderId="11" xfId="0" applyNumberFormat="1" applyFill="1" applyBorder="1"/>
    <xf numFmtId="2" fontId="0" fillId="8" borderId="1" xfId="0" applyNumberFormat="1" applyFill="1" applyBorder="1"/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1" fontId="3" fillId="0" borderId="12" xfId="0" applyNumberFormat="1" applyFont="1" applyBorder="1"/>
    <xf numFmtId="165" fontId="0" fillId="4" borderId="4" xfId="0" applyNumberFormat="1" applyFill="1" applyBorder="1"/>
    <xf numFmtId="0" fontId="0" fillId="0" borderId="14" xfId="0" applyBorder="1"/>
    <xf numFmtId="2" fontId="0" fillId="0" borderId="9" xfId="0" applyNumberFormat="1" applyBorder="1"/>
    <xf numFmtId="0" fontId="0" fillId="0" borderId="10" xfId="0" applyBorder="1"/>
    <xf numFmtId="0" fontId="0" fillId="0" borderId="20" xfId="0" applyBorder="1"/>
    <xf numFmtId="0" fontId="0" fillId="0" borderId="22" xfId="0" applyBorder="1"/>
    <xf numFmtId="0" fontId="5" fillId="5" borderId="6" xfId="0" applyFont="1" applyFill="1" applyBorder="1" applyAlignment="1"/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/>
    <xf numFmtId="0" fontId="1" fillId="8" borderId="23" xfId="0" applyFont="1" applyFill="1" applyBorder="1"/>
    <xf numFmtId="0" fontId="0" fillId="0" borderId="23" xfId="0" applyFill="1" applyBorder="1"/>
    <xf numFmtId="0" fontId="1" fillId="4" borderId="25" xfId="0" applyFont="1" applyFill="1" applyBorder="1" applyAlignment="1">
      <alignment wrapText="1"/>
    </xf>
    <xf numFmtId="0" fontId="0" fillId="0" borderId="3" xfId="0" applyBorder="1"/>
    <xf numFmtId="0" fontId="1" fillId="6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2" xfId="0" applyNumberFormat="1" applyBorder="1"/>
    <xf numFmtId="2" fontId="0" fillId="0" borderId="26" xfId="0" applyNumberFormat="1" applyBorder="1"/>
    <xf numFmtId="0" fontId="1" fillId="7" borderId="1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1" fontId="0" fillId="3" borderId="3" xfId="0" applyNumberFormat="1" applyFill="1" applyBorder="1"/>
    <xf numFmtId="164" fontId="0" fillId="0" borderId="3" xfId="0" applyNumberFormat="1" applyBorder="1"/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" fontId="0" fillId="0" borderId="30" xfId="0" applyNumberFormat="1" applyFill="1" applyBorder="1"/>
    <xf numFmtId="0" fontId="3" fillId="0" borderId="30" xfId="0" applyFont="1" applyBorder="1"/>
    <xf numFmtId="1" fontId="3" fillId="0" borderId="30" xfId="0" applyNumberFormat="1" applyFont="1" applyBorder="1"/>
    <xf numFmtId="1" fontId="2" fillId="0" borderId="30" xfId="0" applyNumberFormat="1" applyFont="1" applyFill="1" applyBorder="1" applyAlignment="1">
      <alignment horizontal="right" vertical="top"/>
    </xf>
    <xf numFmtId="0" fontId="0" fillId="0" borderId="12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20" xfId="0" applyFill="1" applyBorder="1"/>
    <xf numFmtId="0" fontId="0" fillId="0" borderId="22" xfId="0" applyFill="1" applyBorder="1"/>
    <xf numFmtId="1" fontId="0" fillId="0" borderId="5" xfId="0" applyNumberFormat="1" applyFill="1" applyBorder="1"/>
    <xf numFmtId="1" fontId="0" fillId="0" borderId="9" xfId="0" applyNumberFormat="1" applyFill="1" applyBorder="1"/>
    <xf numFmtId="0" fontId="0" fillId="0" borderId="21" xfId="0" applyFill="1" applyBorder="1"/>
    <xf numFmtId="0" fontId="1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horizontal="left" vertical="center"/>
    </xf>
    <xf numFmtId="0" fontId="1" fillId="9" borderId="23" xfId="0" applyFont="1" applyFill="1" applyBorder="1"/>
    <xf numFmtId="2" fontId="0" fillId="0" borderId="13" xfId="0" applyNumberFormat="1" applyBorder="1"/>
    <xf numFmtId="2" fontId="0" fillId="0" borderId="1" xfId="0" applyNumberFormat="1" applyBorder="1"/>
    <xf numFmtId="2" fontId="0" fillId="0" borderId="15" xfId="0" applyNumberFormat="1" applyBorder="1"/>
    <xf numFmtId="0" fontId="5" fillId="5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11" xfId="0" applyNumberFormat="1" applyFont="1" applyBorder="1"/>
    <xf numFmtId="1" fontId="0" fillId="0" borderId="3" xfId="0" applyNumberFormat="1" applyBorder="1"/>
    <xf numFmtId="0" fontId="1" fillId="6" borderId="1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1" fontId="0" fillId="0" borderId="13" xfId="0" applyNumberFormat="1" applyBorder="1"/>
    <xf numFmtId="1" fontId="0" fillId="0" borderId="15" xfId="0" applyNumberFormat="1" applyBorder="1"/>
    <xf numFmtId="0" fontId="0" fillId="0" borderId="31" xfId="0" applyBorder="1"/>
    <xf numFmtId="167" fontId="0" fillId="0" borderId="32" xfId="0" applyNumberFormat="1" applyBorder="1"/>
    <xf numFmtId="167" fontId="6" fillId="0" borderId="34" xfId="0" applyNumberFormat="1" applyFont="1" applyBorder="1"/>
    <xf numFmtId="167" fontId="7" fillId="0" borderId="34" xfId="0" applyNumberFormat="1" applyFont="1" applyBorder="1"/>
    <xf numFmtId="167" fontId="0" fillId="0" borderId="34" xfId="0" applyNumberFormat="1" applyBorder="1"/>
    <xf numFmtId="167" fontId="0" fillId="0" borderId="33" xfId="0" applyNumberFormat="1" applyBorder="1"/>
    <xf numFmtId="1" fontId="0" fillId="0" borderId="9" xfId="0" applyNumberFormat="1" applyBorder="1"/>
    <xf numFmtId="0" fontId="8" fillId="0" borderId="0" xfId="0" applyFont="1"/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  <color rgb="FFFF0000"/>
      <color rgb="FFFF66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'2017'!$AC$2:$AE$2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4-44E0-B723-D249B58866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4-44E0-B723-D249B588668E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4-44E0-B723-D249B588668E}"/>
              </c:ext>
            </c:extLst>
          </c:dPt>
          <c:dLbls>
            <c:dLbl>
              <c:idx val="0"/>
              <c:layout>
                <c:manualLayout>
                  <c:x val="-0.2466783690614765"/>
                  <c:y val="-8.304701929209830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F04-44E0-B723-D249B588668E}"/>
                </c:ext>
              </c:extLst>
            </c:dLbl>
            <c:dLbl>
              <c:idx val="1"/>
              <c:layout>
                <c:manualLayout>
                  <c:x val="0.20136643254410611"/>
                  <c:y val="-0.136747344336921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04-44E0-B723-D249B588668E}"/>
                </c:ext>
              </c:extLst>
            </c:dLbl>
            <c:dLbl>
              <c:idx val="2"/>
              <c:layout>
                <c:manualLayout>
                  <c:x val="0.19107712306255306"/>
                  <c:y val="0.19838177399006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08625675432511"/>
                      <c:h val="0.146592645118398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04-44E0-B723-D249B588668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'2017'!$AC$2:$AE$2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'2017'!$AC$21:$AE$21</c:f>
              <c:numCache>
                <c:formatCode>0.00</c:formatCode>
                <c:ptCount val="3"/>
                <c:pt idx="0">
                  <c:v>716.60926119999988</c:v>
                </c:pt>
                <c:pt idx="1">
                  <c:v>174.02550000000005</c:v>
                </c:pt>
                <c:pt idx="2">
                  <c:v>328.26506490000003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04-44E0-B723-D249B588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Categorized Cargo [Freight Ton] by Year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Warehousing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Analysis!$J$37:$J$50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Analysis!$V$37:$V$50</c:f>
              <c:numCache>
                <c:formatCode>0</c:formatCode>
                <c:ptCount val="14"/>
                <c:pt idx="0">
                  <c:v>378528</c:v>
                </c:pt>
                <c:pt idx="1">
                  <c:v>337269</c:v>
                </c:pt>
                <c:pt idx="2">
                  <c:v>312123</c:v>
                </c:pt>
                <c:pt idx="3">
                  <c:v>242859</c:v>
                </c:pt>
                <c:pt idx="4">
                  <c:v>176597</c:v>
                </c:pt>
                <c:pt idx="5">
                  <c:v>199585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B-4CE4-95F2-0252FA06B449}"/>
            </c:ext>
          </c:extLst>
        </c:ser>
        <c:ser>
          <c:idx val="1"/>
          <c:order val="2"/>
          <c:tx>
            <c:v>Maritime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Analysis!$J$37:$J$50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Analysis!$W$37:$W$50</c:f>
              <c:numCache>
                <c:formatCode>0</c:formatCode>
                <c:ptCount val="14"/>
                <c:pt idx="0">
                  <c:v>103672</c:v>
                </c:pt>
                <c:pt idx="1">
                  <c:v>48076</c:v>
                </c:pt>
                <c:pt idx="2">
                  <c:v>344295</c:v>
                </c:pt>
                <c:pt idx="3">
                  <c:v>563028</c:v>
                </c:pt>
                <c:pt idx="4">
                  <c:v>71854</c:v>
                </c:pt>
                <c:pt idx="5">
                  <c:v>175870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CB-4CE4-95F2-0252FA06B449}"/>
            </c:ext>
          </c:extLst>
        </c:ser>
        <c:ser>
          <c:idx val="2"/>
          <c:order val="3"/>
          <c:tx>
            <c:v>Intermodal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Analysis!$J$37:$J$50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Analysis!$X$37:$X$50</c:f>
              <c:numCache>
                <c:formatCode>0</c:formatCode>
                <c:ptCount val="14"/>
                <c:pt idx="0">
                  <c:v>71080</c:v>
                </c:pt>
                <c:pt idx="1">
                  <c:v>101416</c:v>
                </c:pt>
                <c:pt idx="2">
                  <c:v>121323</c:v>
                </c:pt>
                <c:pt idx="3">
                  <c:v>164928</c:v>
                </c:pt>
                <c:pt idx="4">
                  <c:v>109663</c:v>
                </c:pt>
                <c:pt idx="5">
                  <c:v>81470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CB-4CE4-95F2-0252FA06B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v>Total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Analysis!$J$37:$J$50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Analysis!$I$37:$I$50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553280</c:v>
                      </c:pt>
                      <c:pt idx="1">
                        <c:v>486761</c:v>
                      </c:pt>
                      <c:pt idx="2">
                        <c:v>777741</c:v>
                      </c:pt>
                      <c:pt idx="3">
                        <c:v>970815</c:v>
                      </c:pt>
                      <c:pt idx="4">
                        <c:v>358114</c:v>
                      </c:pt>
                      <c:pt idx="5">
                        <c:v>456925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CB-4CE4-95F2-0252FA06B449}"/>
                  </c:ext>
                </c:extLst>
              </c15:ser>
            </c15:filteredBarSeries>
          </c:ext>
        </c:extLst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Cargo [Freight Ton]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Categorized CO2 Emissions [Metric Ton]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MN Power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Analysis!$Y$20:$Y$33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Analysis!$V$20:$V$33</c:f>
              <c:numCache>
                <c:formatCode>0</c:formatCode>
                <c:ptCount val="14"/>
                <c:pt idx="0">
                  <c:v>716.60926119999988</c:v>
                </c:pt>
                <c:pt idx="1">
                  <c:v>719.72246499999983</c:v>
                </c:pt>
                <c:pt idx="2">
                  <c:v>650.90661999999998</c:v>
                </c:pt>
                <c:pt idx="3">
                  <c:v>667.72544299999993</c:v>
                </c:pt>
                <c:pt idx="4">
                  <c:v>577.31357600000001</c:v>
                </c:pt>
                <c:pt idx="5">
                  <c:v>510.813414475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F-40CA-9440-74D47F7BD02E}"/>
            </c:ext>
          </c:extLst>
        </c:ser>
        <c:ser>
          <c:idx val="1"/>
          <c:order val="2"/>
          <c:tx>
            <c:v>Comfort Systems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Analysis!$Y$20:$Y$33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Analysis!$W$20:$W$33</c:f>
              <c:numCache>
                <c:formatCode>0</c:formatCode>
                <c:ptCount val="14"/>
                <c:pt idx="0">
                  <c:v>174.02550000000005</c:v>
                </c:pt>
                <c:pt idx="1">
                  <c:v>206.20179999999999</c:v>
                </c:pt>
                <c:pt idx="2">
                  <c:v>200.1121</c:v>
                </c:pt>
                <c:pt idx="3">
                  <c:v>201.74450000000002</c:v>
                </c:pt>
                <c:pt idx="4">
                  <c:v>176.03949999999998</c:v>
                </c:pt>
                <c:pt idx="5">
                  <c:v>165.03670000000002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F-40CA-9440-74D47F7BD02E}"/>
            </c:ext>
          </c:extLst>
        </c:ser>
        <c:ser>
          <c:idx val="2"/>
          <c:order val="3"/>
          <c:tx>
            <c:v>Como Oil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Analysis!$Y$20:$Y$33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Analysis!$X$20:$X$33</c:f>
              <c:numCache>
                <c:formatCode>0</c:formatCode>
                <c:ptCount val="14"/>
                <c:pt idx="0">
                  <c:v>328.26506490000003</c:v>
                </c:pt>
                <c:pt idx="1">
                  <c:v>389.93363699999998</c:v>
                </c:pt>
                <c:pt idx="2">
                  <c:v>454.6304513</c:v>
                </c:pt>
                <c:pt idx="3">
                  <c:v>475.81038469999999</c:v>
                </c:pt>
                <c:pt idx="4">
                  <c:v>260.13349699999998</c:v>
                </c:pt>
                <c:pt idx="5">
                  <c:v>421.20248400000003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2F-40CA-9440-74D47F7B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v>Total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Analysis!$J$20:$J$33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Analysis!$I$20:$I$33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1218.8998260999999</c:v>
                      </c:pt>
                      <c:pt idx="1">
                        <c:v>1315.8579019999997</c:v>
                      </c:pt>
                      <c:pt idx="2">
                        <c:v>1305.6491713</c:v>
                      </c:pt>
                      <c:pt idx="3">
                        <c:v>1345.2803276999998</c:v>
                      </c:pt>
                      <c:pt idx="4">
                        <c:v>1013.4865729999999</c:v>
                      </c:pt>
                      <c:pt idx="5">
                        <c:v>1097.0525984750002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2F-40CA-9440-74D47F7BD02E}"/>
                  </c:ext>
                </c:extLst>
              </c15:ser>
            </c15:filteredBarSeries>
          </c:ext>
        </c:extLst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CO2 Emissions [Metric Ton] 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Waste Produced [lb] by Year</a:t>
            </a:r>
          </a:p>
        </c:rich>
      </c:tx>
      <c:layout>
        <c:manualLayout>
          <c:xMode val="edge"/>
          <c:yMode val="edge"/>
          <c:x val="0.36824756465718467"/>
          <c:y val="5.1643192488262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Analysis!$V$2</c:f>
              <c:strCache>
                <c:ptCount val="1"/>
                <c:pt idx="0">
                  <c:v>Waste Produced [lb]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Analysis!$W$3:$W$16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Analysis!$V$3:$V$16</c:f>
              <c:numCache>
                <c:formatCode>0.00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B4A8-436D-8F2F-8F26C2C7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i="0" u="none" strike="noStrike" baseline="0">
                    <a:effectLst/>
                  </a:rPr>
                  <a:t>Waste Produced [lb] 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1.8472036351187326E-2"/>
              <c:y val="0.26333333333333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'2018'!$AC$2:$AE$2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5E-4302-A7F9-236485A8D60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5E-4302-A7F9-236485A8D608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5E-4302-A7F9-236485A8D608}"/>
              </c:ext>
            </c:extLst>
          </c:dPt>
          <c:dLbls>
            <c:dLbl>
              <c:idx val="0"/>
              <c:layout>
                <c:manualLayout>
                  <c:x val="-0.22237369741835852"/>
                  <c:y val="-2.728570833053440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C5E-4302-A7F9-236485A8D608}"/>
                </c:ext>
              </c:extLst>
            </c:dLbl>
            <c:dLbl>
              <c:idx val="1"/>
              <c:layout>
                <c:manualLayout>
                  <c:x val="0.17577326722039777"/>
                  <c:y val="-0.163964367536296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5E-4302-A7F9-236485A8D608}"/>
                </c:ext>
              </c:extLst>
            </c:dLbl>
            <c:dLbl>
              <c:idx val="2"/>
              <c:layout>
                <c:manualLayout>
                  <c:x val="0.21978240390089776"/>
                  <c:y val="0.15680211307450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5E-4302-A7F9-236485A8D6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'2018'!$AC$2:$AE$2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'2018'!$AC$21:$AE$21</c:f>
              <c:numCache>
                <c:formatCode>0.00</c:formatCode>
                <c:ptCount val="3"/>
                <c:pt idx="0">
                  <c:v>719.72246499999983</c:v>
                </c:pt>
                <c:pt idx="1">
                  <c:v>206.20179999999999</c:v>
                </c:pt>
                <c:pt idx="2">
                  <c:v>389.93363699999998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5E-4302-A7F9-236485A8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BF-4808-96AD-D2014FB4B1A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BF-4808-96AD-D2014FB4B1A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BF-4808-96AD-D2014FB4B1A5}"/>
              </c:ext>
            </c:extLst>
          </c:dPt>
          <c:dLbls>
            <c:dLbl>
              <c:idx val="0"/>
              <c:layout>
                <c:manualLayout>
                  <c:x val="-0.239444945410447"/>
                  <c:y val="4.309236011830208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0BF-4808-96AD-D2014FB4B1A5}"/>
                </c:ext>
              </c:extLst>
            </c:dLbl>
            <c:dLbl>
              <c:idx val="1"/>
              <c:layout>
                <c:manualLayout>
                  <c:x val="0.14139342375277764"/>
                  <c:y val="-0.18167368385357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BF-4808-96AD-D2014FB4B1A5}"/>
                </c:ext>
              </c:extLst>
            </c:dLbl>
            <c:dLbl>
              <c:idx val="2"/>
              <c:layout>
                <c:manualLayout>
                  <c:x val="0.23257653623212018"/>
                  <c:y val="0.13704627585115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BF-4808-96AD-D2014FB4B1A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'2019'!$AF$21:$AH$21</c:f>
              <c:numCache>
                <c:formatCode>0.00</c:formatCode>
                <c:ptCount val="3"/>
                <c:pt idx="0">
                  <c:v>650.90661999999998</c:v>
                </c:pt>
                <c:pt idx="1">
                  <c:v>200.1121</c:v>
                </c:pt>
                <c:pt idx="2">
                  <c:v>454.6304513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BF-4808-96AD-D2014FB4B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E0-46B2-8EFB-4CE4E8FC0F7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AE0-46B2-8EFB-4CE4E8FC0F7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E0-46B2-8EFB-4CE4E8FC0F76}"/>
              </c:ext>
            </c:extLst>
          </c:dPt>
          <c:dLbls>
            <c:dLbl>
              <c:idx val="0"/>
              <c:layout>
                <c:manualLayout>
                  <c:x val="-0.24844108273825427"/>
                  <c:y val="3.72262611335250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AE0-46B2-8EFB-4CE4E8FC0F76}"/>
                </c:ext>
              </c:extLst>
            </c:dLbl>
            <c:dLbl>
              <c:idx val="1"/>
              <c:layout>
                <c:manualLayout>
                  <c:x val="0.1278992177610668"/>
                  <c:y val="-0.17893059842676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E0-46B2-8EFB-4CE4E8FC0F76}"/>
                </c:ext>
              </c:extLst>
            </c:dLbl>
            <c:dLbl>
              <c:idx val="2"/>
              <c:layout>
                <c:manualLayout>
                  <c:x val="0.24157267355992737"/>
                  <c:y val="0.126073934143918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E0-46B2-8EFB-4CE4E8FC0F7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'2020'!$AF$2:$AH$2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'2020'!$AF$21:$AH$21</c:f>
              <c:numCache>
                <c:formatCode>0.00</c:formatCode>
                <c:ptCount val="3"/>
                <c:pt idx="0">
                  <c:v>667.72544299999993</c:v>
                </c:pt>
                <c:pt idx="1">
                  <c:v>201.74450000000002</c:v>
                </c:pt>
                <c:pt idx="2">
                  <c:v>475.81038469999999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0-46B2-8EFB-4CE4E8FC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20-424A-8A96-405A5FAF79C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20-424A-8A96-405A5FAF79C7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20-424A-8A96-405A5FAF79C7}"/>
              </c:ext>
            </c:extLst>
          </c:dPt>
          <c:dLbls>
            <c:dLbl>
              <c:idx val="0"/>
              <c:layout>
                <c:manualLayout>
                  <c:x val="0.1608831656769735"/>
                  <c:y val="0.44336233931464364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420-424A-8A96-405A5FAF79C7}"/>
                </c:ext>
              </c:extLst>
            </c:dLbl>
            <c:dLbl>
              <c:idx val="1"/>
              <c:layout>
                <c:manualLayout>
                  <c:x val="-0.14648297073705283"/>
                  <c:y val="0.615330810097436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20-424A-8A96-405A5FAF79C7}"/>
                </c:ext>
              </c:extLst>
            </c:dLbl>
            <c:dLbl>
              <c:idx val="2"/>
              <c:layout>
                <c:manualLayout>
                  <c:x val="-0.13176702554407155"/>
                  <c:y val="0.245067380433026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20-424A-8A96-405A5FAF79C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'2021'!$AF$2:$AH$2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'2021'!$AF$21:$AH$21</c:f>
              <c:numCache>
                <c:formatCode>0.00</c:formatCode>
                <c:ptCount val="3"/>
                <c:pt idx="0">
                  <c:v>577.31357600000001</c:v>
                </c:pt>
                <c:pt idx="1">
                  <c:v>176.03949999999998</c:v>
                </c:pt>
                <c:pt idx="2">
                  <c:v>260.13349699999998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20-424A-8A96-405A5FAF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</a:t>
            </a:r>
            <a:r>
              <a:rPr lang="en-US" baseline="0"/>
              <a:t> Breakdown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E7-47DD-AA1C-55D7167BD6C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E7-47DD-AA1C-55D7167BD6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E7-47DD-AA1C-55D7167BD6CF}"/>
              </c:ext>
            </c:extLst>
          </c:dPt>
          <c:dLbls>
            <c:dLbl>
              <c:idx val="0"/>
              <c:layout>
                <c:manualLayout>
                  <c:x val="0.1608831656769735"/>
                  <c:y val="0.44336233931464364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286368911431288"/>
                      <c:h val="0.151709471398798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E7-47DD-AA1C-55D7167BD6CF}"/>
                </c:ext>
              </c:extLst>
            </c:dLbl>
            <c:dLbl>
              <c:idx val="1"/>
              <c:layout>
                <c:manualLayout>
                  <c:x val="-0.14648297073705283"/>
                  <c:y val="0.615330810097436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E7-47DD-AA1C-55D7167BD6CF}"/>
                </c:ext>
              </c:extLst>
            </c:dLbl>
            <c:dLbl>
              <c:idx val="2"/>
              <c:layout>
                <c:manualLayout>
                  <c:x val="-0.13176702554407155"/>
                  <c:y val="0.245067380433026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E7-47DD-AA1C-55D7167BD6C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'2022'!$AF$2:$AH$2</c:f>
              <c:strCache>
                <c:ptCount val="3"/>
                <c:pt idx="0">
                  <c:v>MN Power (Electrical) </c:v>
                </c:pt>
                <c:pt idx="1">
                  <c:v>Comfort Systems (Natural Gas) </c:v>
                </c:pt>
                <c:pt idx="2">
                  <c:v>Como Oil (Propane/Fuel Oil)</c:v>
                </c:pt>
              </c:strCache>
            </c:strRef>
          </c:cat>
          <c:val>
            <c:numRef>
              <c:f>'2022'!$AF$21:$AH$21</c:f>
              <c:numCache>
                <c:formatCode>0.00</c:formatCode>
                <c:ptCount val="3"/>
                <c:pt idx="0">
                  <c:v>510.813414475</c:v>
                </c:pt>
                <c:pt idx="1">
                  <c:v>165.03670000000002</c:v>
                </c:pt>
                <c:pt idx="2">
                  <c:v>421.20248400000003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E7-47DD-AA1C-55D7167BD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CO2 [lb] / Total Cargo [Freight Ton]</a:t>
            </a:r>
            <a:r>
              <a:rPr lang="en-US" sz="1400" b="0" i="0" u="none" strike="noStrike" baseline="0"/>
              <a:t> </a:t>
            </a:r>
            <a:r>
              <a:rPr lang="en-US"/>
              <a:t>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Analysis!$I$2</c:f>
              <c:strCache>
                <c:ptCount val="1"/>
                <c:pt idx="0">
                  <c:v>CO2 [lb] / Total Cargo [Freight Ton]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Analysis!$J$3:$J$16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Analysis!$I$3:$I$16</c:f>
              <c:numCache>
                <c:formatCode>0.00</c:formatCode>
                <c:ptCount val="14"/>
                <c:pt idx="0">
                  <c:v>4.8568734359033066</c:v>
                </c:pt>
                <c:pt idx="1">
                  <c:v>5.9597351634729145</c:v>
                </c:pt>
                <c:pt idx="2">
                  <c:v>3.7010525046659573</c:v>
                </c:pt>
                <c:pt idx="3">
                  <c:v>3.0549918532923095</c:v>
                </c:pt>
                <c:pt idx="4">
                  <c:v>6.2392220593645034</c:v>
                </c:pt>
                <c:pt idx="5">
                  <c:v>5.2931752468128348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14-4015-84EA-F85E1404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i="0" u="none" strike="noStrike" baseline="0">
                    <a:effectLst/>
                  </a:rPr>
                  <a:t>CO2 [lb] / Total Cargo [Freight Ton]</a:t>
                </a:r>
                <a:r>
                  <a:rPr lang="en-US" sz="1050" b="0" i="0" u="none" strike="noStrike" baseline="0"/>
                  <a:t> 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2.6004728132387706E-2"/>
              <c:y val="0.14126760563380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CO2 Emissions [Metric Ton]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Analysis!$J$20:$J$33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Analysis!$I$20:$I$33</c:f>
              <c:numCache>
                <c:formatCode>0</c:formatCode>
                <c:ptCount val="14"/>
                <c:pt idx="0">
                  <c:v>1218.8998260999999</c:v>
                </c:pt>
                <c:pt idx="1">
                  <c:v>1315.8579019999997</c:v>
                </c:pt>
                <c:pt idx="2">
                  <c:v>1305.6491713</c:v>
                </c:pt>
                <c:pt idx="3">
                  <c:v>1345.2803276999998</c:v>
                </c:pt>
                <c:pt idx="4">
                  <c:v>1013.4865729999999</c:v>
                </c:pt>
                <c:pt idx="5">
                  <c:v>1097.0525984750002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3-419B-B442-C6F027B30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v>MN Power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Analysis!$AK$3:$AK$16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Analysis!$V$20:$V$33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716.60926119999988</c:v>
                      </c:pt>
                      <c:pt idx="1">
                        <c:v>719.72246499999983</c:v>
                      </c:pt>
                      <c:pt idx="2">
                        <c:v>650.90661999999998</c:v>
                      </c:pt>
                      <c:pt idx="3">
                        <c:v>667.72544299999993</c:v>
                      </c:pt>
                      <c:pt idx="4">
                        <c:v>577.31357600000001</c:v>
                      </c:pt>
                      <c:pt idx="5">
                        <c:v>510.813414475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28-42FC-A887-5B8962687B23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v>Comfort Systems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Analysis!$AK$20:$AK$33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Analysis!$W$20:$W$33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174.02550000000005</c:v>
                      </c:pt>
                      <c:pt idx="1">
                        <c:v>206.20179999999999</c:v>
                      </c:pt>
                      <c:pt idx="2">
                        <c:v>200.1121</c:v>
                      </c:pt>
                      <c:pt idx="3">
                        <c:v>201.74450000000002</c:v>
                      </c:pt>
                      <c:pt idx="4">
                        <c:v>176.03949999999998</c:v>
                      </c:pt>
                      <c:pt idx="5">
                        <c:v>165.03670000000002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628-42FC-A887-5B8962687B23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v>Como Oil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Analysis!$Y$20:$Y$33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Analysis!$X$20:$X$33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328.26506490000003</c:v>
                      </c:pt>
                      <c:pt idx="1">
                        <c:v>389.93363699999998</c:v>
                      </c:pt>
                      <c:pt idx="2">
                        <c:v>454.6304513</c:v>
                      </c:pt>
                      <c:pt idx="3">
                        <c:v>475.81038469999999</c:v>
                      </c:pt>
                      <c:pt idx="4">
                        <c:v>260.13349699999998</c:v>
                      </c:pt>
                      <c:pt idx="5">
                        <c:v>421.20248400000003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628-42FC-A887-5B8962687B23}"/>
                  </c:ext>
                </c:extLst>
              </c15:ser>
            </c15:filteredBarSeries>
          </c:ext>
        </c:extLst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CO2 Emissions [Metric Ton] 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Combined Cargo [Freight Ton] by Year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Analysis!$J$37:$J$50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Analysis!$I$37:$I$50</c:f>
              <c:numCache>
                <c:formatCode>0</c:formatCode>
                <c:ptCount val="14"/>
                <c:pt idx="0">
                  <c:v>553280</c:v>
                </c:pt>
                <c:pt idx="1">
                  <c:v>486761</c:v>
                </c:pt>
                <c:pt idx="2">
                  <c:v>777741</c:v>
                </c:pt>
                <c:pt idx="3">
                  <c:v>970815</c:v>
                </c:pt>
                <c:pt idx="4">
                  <c:v>358114</c:v>
                </c:pt>
                <c:pt idx="5">
                  <c:v>456925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6A-4E2B-AB48-E1C4AAD3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96504"/>
        <c:axId val="557592896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v>Warehousing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Analysis!$J$37:$J$50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Analysis!$V$37:$V$50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378528</c:v>
                      </c:pt>
                      <c:pt idx="1">
                        <c:v>337269</c:v>
                      </c:pt>
                      <c:pt idx="2">
                        <c:v>312123</c:v>
                      </c:pt>
                      <c:pt idx="3">
                        <c:v>242859</c:v>
                      </c:pt>
                      <c:pt idx="4">
                        <c:v>176597</c:v>
                      </c:pt>
                      <c:pt idx="5">
                        <c:v>199585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 formatCode="0.0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74-40B7-B54B-75B8FEF8EB5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v>Maritime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Analysis!$J$37:$J$50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Analysis!$W$37:$W$50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103672</c:v>
                      </c:pt>
                      <c:pt idx="1">
                        <c:v>48076</c:v>
                      </c:pt>
                      <c:pt idx="2">
                        <c:v>344295</c:v>
                      </c:pt>
                      <c:pt idx="3">
                        <c:v>563028</c:v>
                      </c:pt>
                      <c:pt idx="4">
                        <c:v>71854</c:v>
                      </c:pt>
                      <c:pt idx="5">
                        <c:v>175870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 formatCode="0.0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74-40B7-B54B-75B8FEF8EB51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v>Intermodal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Analysis!$J$37:$J$50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Analysis!$X$37:$X$50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71080</c:v>
                      </c:pt>
                      <c:pt idx="1">
                        <c:v>101416</c:v>
                      </c:pt>
                      <c:pt idx="2">
                        <c:v>121323</c:v>
                      </c:pt>
                      <c:pt idx="3">
                        <c:v>164928</c:v>
                      </c:pt>
                      <c:pt idx="4">
                        <c:v>109663</c:v>
                      </c:pt>
                      <c:pt idx="5">
                        <c:v>81470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 formatCode="0.0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74-40B7-B54B-75B8FEF8EB51}"/>
                  </c:ext>
                </c:extLst>
              </c15:ser>
            </c15:filteredBarSeries>
          </c:ext>
        </c:extLst>
      </c:barChart>
      <c:catAx>
        <c:axId val="55759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795013123359581"/>
              <c:y val="0.86942111402741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2896"/>
        <c:crosses val="autoZero"/>
        <c:auto val="1"/>
        <c:lblAlgn val="ctr"/>
        <c:lblOffset val="100"/>
        <c:noMultiLvlLbl val="1"/>
      </c:catAx>
      <c:valAx>
        <c:axId val="5575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Cargo [Freight Ton]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9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251013</xdr:colOff>
      <xdr:row>0</xdr:row>
      <xdr:rowOff>71716</xdr:rowOff>
    </xdr:from>
    <xdr:to>
      <xdr:col>36</xdr:col>
      <xdr:colOff>731521</xdr:colOff>
      <xdr:row>14</xdr:row>
      <xdr:rowOff>15239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251013</xdr:colOff>
      <xdr:row>0</xdr:row>
      <xdr:rowOff>71716</xdr:rowOff>
    </xdr:from>
    <xdr:to>
      <xdr:col>36</xdr:col>
      <xdr:colOff>731521</xdr:colOff>
      <xdr:row>14</xdr:row>
      <xdr:rowOff>15239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251013</xdr:colOff>
      <xdr:row>0</xdr:row>
      <xdr:rowOff>71716</xdr:rowOff>
    </xdr:from>
    <xdr:to>
      <xdr:col>39</xdr:col>
      <xdr:colOff>731521</xdr:colOff>
      <xdr:row>14</xdr:row>
      <xdr:rowOff>15239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251013</xdr:colOff>
      <xdr:row>0</xdr:row>
      <xdr:rowOff>71716</xdr:rowOff>
    </xdr:from>
    <xdr:to>
      <xdr:col>39</xdr:col>
      <xdr:colOff>731521</xdr:colOff>
      <xdr:row>14</xdr:row>
      <xdr:rowOff>15239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251013</xdr:colOff>
      <xdr:row>0</xdr:row>
      <xdr:rowOff>71716</xdr:rowOff>
    </xdr:from>
    <xdr:to>
      <xdr:col>39</xdr:col>
      <xdr:colOff>731521</xdr:colOff>
      <xdr:row>14</xdr:row>
      <xdr:rowOff>15239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251013</xdr:colOff>
      <xdr:row>0</xdr:row>
      <xdr:rowOff>71716</xdr:rowOff>
    </xdr:from>
    <xdr:to>
      <xdr:col>39</xdr:col>
      <xdr:colOff>731521</xdr:colOff>
      <xdr:row>14</xdr:row>
      <xdr:rowOff>15239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</xdr:rowOff>
    </xdr:from>
    <xdr:to>
      <xdr:col>7</xdr:col>
      <xdr:colOff>533400</xdr:colOff>
      <xdr:row>15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18</xdr:row>
      <xdr:rowOff>38100</xdr:rowOff>
    </xdr:from>
    <xdr:to>
      <xdr:col>7</xdr:col>
      <xdr:colOff>571500</xdr:colOff>
      <xdr:row>32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35</xdr:row>
      <xdr:rowOff>22860</xdr:rowOff>
    </xdr:from>
    <xdr:to>
      <xdr:col>7</xdr:col>
      <xdr:colOff>510540</xdr:colOff>
      <xdr:row>49</xdr:row>
      <xdr:rowOff>160020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45720</xdr:colOff>
      <xdr:row>35</xdr:row>
      <xdr:rowOff>22860</xdr:rowOff>
    </xdr:from>
    <xdr:to>
      <xdr:col>20</xdr:col>
      <xdr:colOff>533400</xdr:colOff>
      <xdr:row>49</xdr:row>
      <xdr:rowOff>160020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53340</xdr:colOff>
      <xdr:row>18</xdr:row>
      <xdr:rowOff>53340</xdr:rowOff>
    </xdr:from>
    <xdr:to>
      <xdr:col>20</xdr:col>
      <xdr:colOff>556260</xdr:colOff>
      <xdr:row>32</xdr:row>
      <xdr:rowOff>137160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60960</xdr:colOff>
      <xdr:row>1</xdr:row>
      <xdr:rowOff>22860</xdr:rowOff>
    </xdr:from>
    <xdr:to>
      <xdr:col>20</xdr:col>
      <xdr:colOff>533400</xdr:colOff>
      <xdr:row>15</xdr:row>
      <xdr:rowOff>160020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epa.gov/energy/greenhouse-gases-equivalencies-calculator-calculations-and-references" TargetMode="External"/><Relationship Id="rId1" Type="http://schemas.openxmlformats.org/officeDocument/2006/relationships/hyperlink" Target="https://www.eia.gov/energyexplained/units-and-calculators/energy-conversion-calculators.php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showWhiteSpace="0" topLeftCell="A2" zoomScaleNormal="100" workbookViewId="0">
      <pane xSplit="1" topLeftCell="W1" activePane="topRight" state="frozen"/>
      <selection pane="topRight" activeCell="AG28" sqref="AG28"/>
    </sheetView>
  </sheetViews>
  <sheetFormatPr defaultRowHeight="15" x14ac:dyDescent="0.25"/>
  <cols>
    <col min="1" max="1" width="20.28515625" bestFit="1" customWidth="1"/>
    <col min="2" max="2" width="11.7109375" customWidth="1"/>
    <col min="3" max="3" width="15.28515625" bestFit="1" customWidth="1"/>
    <col min="4" max="4" width="12.7109375" customWidth="1"/>
    <col min="5" max="5" width="15.28515625" bestFit="1" customWidth="1"/>
    <col min="6" max="6" width="14.28515625" customWidth="1"/>
    <col min="7" max="7" width="14.85546875" customWidth="1"/>
    <col min="8" max="8" width="14.140625" customWidth="1"/>
    <col min="9" max="9" width="13.5703125" customWidth="1"/>
    <col min="10" max="10" width="14.28515625" customWidth="1"/>
    <col min="11" max="11" width="15.28515625" bestFit="1" customWidth="1"/>
    <col min="12" max="12" width="13.7109375" customWidth="1"/>
    <col min="13" max="13" width="15.28515625" bestFit="1" customWidth="1"/>
    <col min="14" max="14" width="14.28515625" customWidth="1"/>
    <col min="15" max="15" width="13.570312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6" width="13.85546875" customWidth="1"/>
    <col min="27" max="27" width="15.85546875" customWidth="1"/>
    <col min="28" max="28" width="16.7109375" customWidth="1"/>
    <col min="29" max="29" width="15" bestFit="1" customWidth="1"/>
    <col min="30" max="30" width="15.5703125" customWidth="1"/>
    <col min="31" max="32" width="16.7109375" customWidth="1"/>
    <col min="33" max="33" width="15" bestFit="1" customWidth="1"/>
    <col min="34" max="34" width="16.42578125" customWidth="1"/>
    <col min="35" max="35" width="15" bestFit="1" customWidth="1"/>
    <col min="36" max="36" width="24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0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80"/>
      <c r="H1" s="178" t="s">
        <v>126</v>
      </c>
      <c r="I1" s="179"/>
      <c r="J1" s="179"/>
      <c r="K1" s="179"/>
      <c r="L1" s="180"/>
      <c r="M1" s="179" t="s">
        <v>47</v>
      </c>
      <c r="N1" s="179"/>
      <c r="O1" s="178" t="s">
        <v>90</v>
      </c>
      <c r="P1" s="180"/>
      <c r="Q1" s="178" t="s">
        <v>19</v>
      </c>
      <c r="R1" s="179"/>
      <c r="S1" s="180"/>
      <c r="T1" s="178" t="s">
        <v>92</v>
      </c>
      <c r="U1" s="179"/>
      <c r="V1" s="179"/>
      <c r="W1" s="179"/>
      <c r="X1" s="179"/>
      <c r="Y1" s="180"/>
      <c r="Z1" s="178" t="s">
        <v>129</v>
      </c>
      <c r="AA1" s="179"/>
      <c r="AB1" s="180"/>
      <c r="AC1" s="178" t="s">
        <v>93</v>
      </c>
      <c r="AD1" s="179"/>
      <c r="AE1" s="179"/>
      <c r="AF1" s="180"/>
      <c r="AG1" s="130"/>
      <c r="AH1" s="130"/>
      <c r="AI1" s="130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30"/>
      <c r="AV1" s="39"/>
      <c r="AW1" s="12"/>
      <c r="AX1" s="12"/>
    </row>
    <row r="2" spans="1:50" ht="78" customHeight="1" x14ac:dyDescent="0.25">
      <c r="A2" s="155" t="s">
        <v>156</v>
      </c>
      <c r="B2" s="40" t="s">
        <v>121</v>
      </c>
      <c r="C2" s="24" t="s">
        <v>83</v>
      </c>
      <c r="D2" s="24" t="s">
        <v>82</v>
      </c>
      <c r="E2" s="24" t="s">
        <v>122</v>
      </c>
      <c r="F2" s="25" t="s">
        <v>122</v>
      </c>
      <c r="G2" s="56" t="s">
        <v>12</v>
      </c>
      <c r="H2" s="77" t="s">
        <v>13</v>
      </c>
      <c r="I2" s="25" t="s">
        <v>13</v>
      </c>
      <c r="J2" s="24" t="s">
        <v>20</v>
      </c>
      <c r="K2" s="24" t="s">
        <v>99</v>
      </c>
      <c r="L2" s="41" t="s">
        <v>21</v>
      </c>
      <c r="M2" s="77" t="s">
        <v>47</v>
      </c>
      <c r="N2" s="41" t="s">
        <v>25</v>
      </c>
      <c r="O2" s="40" t="s">
        <v>90</v>
      </c>
      <c r="P2" s="25" t="s">
        <v>90</v>
      </c>
      <c r="Q2" s="137" t="s">
        <v>19</v>
      </c>
      <c r="R2" s="138" t="s">
        <v>84</v>
      </c>
      <c r="S2" s="139" t="s">
        <v>85</v>
      </c>
      <c r="T2" s="137" t="s">
        <v>86</v>
      </c>
      <c r="U2" s="138" t="s">
        <v>87</v>
      </c>
      <c r="V2" s="138" t="s">
        <v>88</v>
      </c>
      <c r="W2" s="138" t="s">
        <v>89</v>
      </c>
      <c r="X2" s="138" t="s">
        <v>100</v>
      </c>
      <c r="Y2" s="139" t="s">
        <v>46</v>
      </c>
      <c r="Z2" s="133" t="s">
        <v>148</v>
      </c>
      <c r="AA2" s="37" t="s">
        <v>145</v>
      </c>
      <c r="AB2" s="60" t="s">
        <v>146</v>
      </c>
      <c r="AC2" s="40" t="s">
        <v>95</v>
      </c>
      <c r="AD2" s="25" t="s">
        <v>111</v>
      </c>
      <c r="AE2" s="37" t="s">
        <v>147</v>
      </c>
      <c r="AF2" s="65" t="s">
        <v>96</v>
      </c>
      <c r="AN2" s="12"/>
      <c r="AO2" s="94"/>
      <c r="AQ2" s="94"/>
      <c r="AT2" s="28"/>
    </row>
    <row r="3" spans="1:50" x14ac:dyDescent="0.25">
      <c r="A3" s="152" t="s">
        <v>155</v>
      </c>
      <c r="B3" s="42" t="s">
        <v>42</v>
      </c>
      <c r="C3" s="6" t="s">
        <v>42</v>
      </c>
      <c r="D3" s="6" t="s">
        <v>42</v>
      </c>
      <c r="E3" s="6" t="s">
        <v>42</v>
      </c>
      <c r="F3" s="6" t="s">
        <v>42</v>
      </c>
      <c r="G3" s="43" t="s">
        <v>42</v>
      </c>
      <c r="H3" s="78" t="s">
        <v>42</v>
      </c>
      <c r="I3" s="6" t="s">
        <v>42</v>
      </c>
      <c r="J3" s="6" t="s">
        <v>42</v>
      </c>
      <c r="K3" s="6" t="s">
        <v>42</v>
      </c>
      <c r="L3" s="43" t="s">
        <v>42</v>
      </c>
      <c r="M3" s="78" t="s">
        <v>43</v>
      </c>
      <c r="N3" s="43" t="s">
        <v>42</v>
      </c>
      <c r="O3" s="42" t="s">
        <v>43</v>
      </c>
      <c r="P3" s="6" t="s">
        <v>43</v>
      </c>
      <c r="Q3" s="42" t="s">
        <v>42</v>
      </c>
      <c r="R3" s="6" t="s">
        <v>43</v>
      </c>
      <c r="S3" s="43" t="s">
        <v>43</v>
      </c>
      <c r="T3" s="42" t="s">
        <v>43</v>
      </c>
      <c r="U3" s="6" t="s">
        <v>43</v>
      </c>
      <c r="V3" s="6" t="s">
        <v>43</v>
      </c>
      <c r="W3" s="6" t="s">
        <v>43</v>
      </c>
      <c r="X3" s="6" t="s">
        <v>42</v>
      </c>
      <c r="Y3" s="43" t="s">
        <v>43</v>
      </c>
      <c r="Z3" s="78" t="s">
        <v>42</v>
      </c>
      <c r="AA3" s="6" t="s">
        <v>42</v>
      </c>
      <c r="AB3" s="43" t="s">
        <v>42</v>
      </c>
      <c r="AC3" s="66" t="s">
        <v>97</v>
      </c>
      <c r="AD3" s="11" t="s">
        <v>97</v>
      </c>
      <c r="AE3" s="21" t="s">
        <v>97</v>
      </c>
      <c r="AF3" s="67" t="s">
        <v>97</v>
      </c>
      <c r="AK3" s="94"/>
      <c r="AM3" s="33"/>
      <c r="AN3" s="33"/>
      <c r="AT3" s="28"/>
    </row>
    <row r="4" spans="1:50" ht="90" x14ac:dyDescent="0.25">
      <c r="A4" s="122" t="s">
        <v>119</v>
      </c>
      <c r="B4" s="44" t="s">
        <v>36</v>
      </c>
      <c r="C4" s="15" t="s">
        <v>78</v>
      </c>
      <c r="D4" s="15" t="s">
        <v>81</v>
      </c>
      <c r="E4" s="15" t="s">
        <v>76</v>
      </c>
      <c r="F4" s="15" t="s">
        <v>28</v>
      </c>
      <c r="G4" s="50" t="s">
        <v>35</v>
      </c>
      <c r="H4" s="79" t="s">
        <v>34</v>
      </c>
      <c r="I4" s="15" t="s">
        <v>32</v>
      </c>
      <c r="J4" s="16" t="s">
        <v>72</v>
      </c>
      <c r="K4" s="16" t="s">
        <v>68</v>
      </c>
      <c r="L4" s="50" t="s">
        <v>29</v>
      </c>
      <c r="M4" s="111" t="s">
        <v>50</v>
      </c>
      <c r="N4" s="50" t="s">
        <v>27</v>
      </c>
      <c r="O4" s="112" t="s">
        <v>115</v>
      </c>
      <c r="P4" s="15" t="s">
        <v>115</v>
      </c>
      <c r="Q4" s="44" t="s">
        <v>24</v>
      </c>
      <c r="R4" s="15" t="s">
        <v>59</v>
      </c>
      <c r="S4" s="50" t="s">
        <v>58</v>
      </c>
      <c r="T4" s="44" t="s">
        <v>56</v>
      </c>
      <c r="U4" s="15" t="s">
        <v>52</v>
      </c>
      <c r="V4" s="15" t="s">
        <v>65</v>
      </c>
      <c r="W4" s="15" t="s">
        <v>64</v>
      </c>
      <c r="X4" s="16" t="s">
        <v>74</v>
      </c>
      <c r="Y4" s="50" t="s">
        <v>51</v>
      </c>
      <c r="Z4" s="111" t="s">
        <v>142</v>
      </c>
      <c r="AA4" s="15" t="s">
        <v>143</v>
      </c>
      <c r="AB4" s="50" t="s">
        <v>144</v>
      </c>
      <c r="AC4" s="68" t="s">
        <v>45</v>
      </c>
      <c r="AD4" s="17" t="s">
        <v>40</v>
      </c>
      <c r="AE4" s="22" t="s">
        <v>116</v>
      </c>
      <c r="AF4" s="69" t="s">
        <v>18</v>
      </c>
      <c r="AK4" s="14"/>
      <c r="AM4" s="14"/>
      <c r="AN4" s="14"/>
      <c r="AT4" s="29"/>
    </row>
    <row r="5" spans="1:50" ht="15.6" customHeight="1" x14ac:dyDescent="0.25">
      <c r="A5" s="123" t="s">
        <v>152</v>
      </c>
      <c r="B5" s="44" t="s">
        <v>37</v>
      </c>
      <c r="C5" s="15" t="s">
        <v>80</v>
      </c>
      <c r="D5" s="15" t="s">
        <v>79</v>
      </c>
      <c r="E5" s="15" t="s">
        <v>77</v>
      </c>
      <c r="F5" s="15" t="s">
        <v>30</v>
      </c>
      <c r="G5" s="50" t="s">
        <v>101</v>
      </c>
      <c r="H5" s="79" t="s">
        <v>38</v>
      </c>
      <c r="I5" s="15" t="s">
        <v>33</v>
      </c>
      <c r="J5" s="16" t="s">
        <v>73</v>
      </c>
      <c r="K5" s="16" t="s">
        <v>70</v>
      </c>
      <c r="L5" s="50" t="s">
        <v>31</v>
      </c>
      <c r="M5" s="111" t="s">
        <v>48</v>
      </c>
      <c r="N5" s="50" t="s">
        <v>39</v>
      </c>
      <c r="O5" s="44" t="s">
        <v>38</v>
      </c>
      <c r="P5" s="15" t="s">
        <v>114</v>
      </c>
      <c r="Q5" s="44" t="s">
        <v>26</v>
      </c>
      <c r="R5" s="15" t="s">
        <v>61</v>
      </c>
      <c r="S5" s="50" t="s">
        <v>60</v>
      </c>
      <c r="T5" s="44" t="s">
        <v>55</v>
      </c>
      <c r="U5" s="15" t="s">
        <v>53</v>
      </c>
      <c r="V5" s="15" t="s">
        <v>67</v>
      </c>
      <c r="W5" s="15" t="s">
        <v>66</v>
      </c>
      <c r="X5" s="16" t="s">
        <v>75</v>
      </c>
      <c r="Y5" s="50" t="s">
        <v>49</v>
      </c>
      <c r="Z5" s="111" t="s">
        <v>151</v>
      </c>
      <c r="AA5" s="15" t="s">
        <v>150</v>
      </c>
      <c r="AB5" s="50" t="s">
        <v>149</v>
      </c>
      <c r="AC5" s="68" t="s">
        <v>18</v>
      </c>
      <c r="AD5" s="17" t="s">
        <v>18</v>
      </c>
      <c r="AE5" s="22" t="s">
        <v>18</v>
      </c>
      <c r="AF5" s="69" t="s">
        <v>18</v>
      </c>
      <c r="AK5" s="94"/>
      <c r="AM5" s="94"/>
      <c r="AN5" s="94"/>
      <c r="AP5" s="94"/>
      <c r="AQ5" s="94"/>
      <c r="AR5" s="94"/>
      <c r="AS5" s="94"/>
      <c r="AT5" s="29"/>
    </row>
    <row r="6" spans="1:50" x14ac:dyDescent="0.25">
      <c r="A6" s="156" t="s">
        <v>102</v>
      </c>
      <c r="B6" s="45" t="s">
        <v>15</v>
      </c>
      <c r="C6" s="1" t="s">
        <v>15</v>
      </c>
      <c r="D6" s="1" t="s">
        <v>15</v>
      </c>
      <c r="E6" s="1" t="s">
        <v>15</v>
      </c>
      <c r="F6" s="18" t="s">
        <v>103</v>
      </c>
      <c r="G6" s="57" t="s">
        <v>15</v>
      </c>
      <c r="H6" s="80" t="s">
        <v>15</v>
      </c>
      <c r="I6" s="18" t="s">
        <v>103</v>
      </c>
      <c r="J6" s="1" t="s">
        <v>15</v>
      </c>
      <c r="K6" s="1" t="s">
        <v>15</v>
      </c>
      <c r="L6" s="129" t="s">
        <v>103</v>
      </c>
      <c r="M6" s="80" t="s">
        <v>15</v>
      </c>
      <c r="N6" s="76" t="s">
        <v>103</v>
      </c>
      <c r="O6" s="45" t="s">
        <v>15</v>
      </c>
      <c r="P6" s="76" t="s">
        <v>103</v>
      </c>
      <c r="Q6" s="45" t="s">
        <v>15</v>
      </c>
      <c r="R6" s="1" t="s">
        <v>15</v>
      </c>
      <c r="S6" s="57" t="s">
        <v>15</v>
      </c>
      <c r="T6" s="45" t="s">
        <v>15</v>
      </c>
      <c r="U6" s="1" t="s">
        <v>15</v>
      </c>
      <c r="V6" s="1" t="s">
        <v>15</v>
      </c>
      <c r="W6" s="1" t="s">
        <v>15</v>
      </c>
      <c r="X6" s="1" t="s">
        <v>15</v>
      </c>
      <c r="Y6" s="57" t="s">
        <v>15</v>
      </c>
      <c r="Z6" s="134" t="s">
        <v>16</v>
      </c>
      <c r="AA6" s="23" t="s">
        <v>16</v>
      </c>
      <c r="AB6" s="55" t="s">
        <v>16</v>
      </c>
      <c r="AC6" s="45" t="s">
        <v>98</v>
      </c>
      <c r="AD6" s="18" t="s">
        <v>98</v>
      </c>
      <c r="AE6" s="23" t="s">
        <v>98</v>
      </c>
      <c r="AF6" s="70" t="s">
        <v>98</v>
      </c>
      <c r="AK6" s="34"/>
      <c r="AN6" s="94"/>
      <c r="AO6" s="94"/>
      <c r="AP6" s="94"/>
      <c r="AQ6" s="94"/>
      <c r="AR6" s="94"/>
      <c r="AS6" s="94"/>
      <c r="AT6" s="30"/>
    </row>
    <row r="7" spans="1:50" x14ac:dyDescent="0.25">
      <c r="A7" s="124" t="s">
        <v>0</v>
      </c>
      <c r="B7" s="46">
        <v>8640</v>
      </c>
      <c r="C7" s="3">
        <v>0</v>
      </c>
      <c r="D7" s="3">
        <v>0</v>
      </c>
      <c r="E7" s="3">
        <v>0</v>
      </c>
      <c r="F7" s="8">
        <v>1140</v>
      </c>
      <c r="G7" s="46">
        <v>0</v>
      </c>
      <c r="H7" s="52">
        <v>37248</v>
      </c>
      <c r="I7" s="7">
        <v>1724</v>
      </c>
      <c r="J7" s="47">
        <v>10944</v>
      </c>
      <c r="K7" s="81">
        <v>0</v>
      </c>
      <c r="L7" s="51">
        <v>3309</v>
      </c>
      <c r="M7" s="53">
        <v>1270</v>
      </c>
      <c r="N7" s="54">
        <v>0</v>
      </c>
      <c r="O7" s="93">
        <v>10944</v>
      </c>
      <c r="P7" s="7">
        <v>410</v>
      </c>
      <c r="Q7" s="46">
        <v>0</v>
      </c>
      <c r="R7" s="93">
        <v>37056</v>
      </c>
      <c r="S7" s="58">
        <v>7488</v>
      </c>
      <c r="T7" s="53">
        <v>0</v>
      </c>
      <c r="U7" s="93">
        <v>0</v>
      </c>
      <c r="V7" s="93">
        <v>0</v>
      </c>
      <c r="W7" s="10">
        <v>0</v>
      </c>
      <c r="X7" s="93">
        <v>1611</v>
      </c>
      <c r="Y7" s="140">
        <v>4914.7</v>
      </c>
      <c r="Z7" s="135">
        <v>4314.5</v>
      </c>
      <c r="AA7" s="135">
        <v>401.8</v>
      </c>
      <c r="AB7" s="141">
        <v>0</v>
      </c>
      <c r="AC7" s="103">
        <f>SUM(G7,B7,E7,C7,D7,H7,J7,K7,M7,O7,Q7,R7,S7,T7,U7,V7,W7,X7,Y7)*0.000707</f>
        <v>84.921799899999996</v>
      </c>
      <c r="AD7" s="104">
        <f t="shared" ref="AD7:AD18" si="0">SUM(F7,I7,L7,N7,P7)*0.0053</f>
        <v>34.889899999999997</v>
      </c>
      <c r="AE7" s="105">
        <f>SUM(Z7*Z$20,AA7*AA$20,AB7*AB$20)</f>
        <v>28.271212200000001</v>
      </c>
      <c r="AF7" s="71">
        <f>SUM(AC7,AD7,AE7)</f>
        <v>148.08291209999999</v>
      </c>
      <c r="AK7" s="12"/>
      <c r="AN7" s="12"/>
      <c r="AO7" s="12"/>
      <c r="AP7" s="12"/>
      <c r="AQ7" s="12"/>
      <c r="AR7" s="12"/>
      <c r="AS7" s="12"/>
      <c r="AT7" s="31"/>
    </row>
    <row r="8" spans="1:50" ht="14.45" customHeight="1" x14ac:dyDescent="0.25">
      <c r="A8" s="124" t="s">
        <v>1</v>
      </c>
      <c r="B8" s="46">
        <v>8832</v>
      </c>
      <c r="C8" s="3">
        <v>0</v>
      </c>
      <c r="D8" s="3">
        <v>0</v>
      </c>
      <c r="E8" s="3">
        <v>0</v>
      </c>
      <c r="F8" s="8">
        <v>1173</v>
      </c>
      <c r="G8" s="46">
        <v>0</v>
      </c>
      <c r="H8" s="52">
        <v>37632</v>
      </c>
      <c r="I8" s="7">
        <v>1849</v>
      </c>
      <c r="J8" s="47">
        <v>12864</v>
      </c>
      <c r="K8" s="81">
        <v>0</v>
      </c>
      <c r="L8" s="51">
        <v>1636</v>
      </c>
      <c r="M8" s="53">
        <v>1292</v>
      </c>
      <c r="N8" s="54">
        <v>0</v>
      </c>
      <c r="O8" s="93">
        <v>12864</v>
      </c>
      <c r="P8" s="7">
        <v>635</v>
      </c>
      <c r="Q8" s="46">
        <v>628</v>
      </c>
      <c r="R8" s="93">
        <v>65280</v>
      </c>
      <c r="S8" s="58">
        <v>86208</v>
      </c>
      <c r="T8" s="53">
        <v>0</v>
      </c>
      <c r="U8" s="93">
        <v>0</v>
      </c>
      <c r="V8" s="93">
        <v>0</v>
      </c>
      <c r="W8" s="10">
        <v>192</v>
      </c>
      <c r="X8" s="93">
        <v>1831</v>
      </c>
      <c r="Y8" s="140">
        <v>3084.3</v>
      </c>
      <c r="Z8" s="135">
        <v>3084.3</v>
      </c>
      <c r="AA8" s="135">
        <v>297.89999999999998</v>
      </c>
      <c r="AB8" s="141">
        <v>0</v>
      </c>
      <c r="AC8" s="103">
        <f t="shared" ref="AC8:AC18" si="1">SUM(G8,B8,E8,C8,D8,H8,J8,K8,M8,O8,Q8,R8,S8,T8,U8,V8,W8,X8,Y8)*0.000707</f>
        <v>163.11006109999997</v>
      </c>
      <c r="AD8" s="104">
        <f t="shared" si="0"/>
        <v>28.052900000000001</v>
      </c>
      <c r="AE8" s="105">
        <f t="shared" ref="AE8:AE18" si="2">SUM(Z8*Z$20,AA8*AA$20,AB8*AB$20)</f>
        <v>20.319299100000002</v>
      </c>
      <c r="AF8" s="71">
        <f t="shared" ref="AF8:AF18" si="3">SUM(AC8,AD8,AE8)</f>
        <v>211.48226019999996</v>
      </c>
      <c r="AT8" s="31"/>
    </row>
    <row r="9" spans="1:50" x14ac:dyDescent="0.25">
      <c r="A9" s="124" t="s">
        <v>2</v>
      </c>
      <c r="B9" s="46">
        <v>8064</v>
      </c>
      <c r="C9" s="3">
        <v>0</v>
      </c>
      <c r="D9" s="3">
        <v>0</v>
      </c>
      <c r="E9" s="3">
        <v>789</v>
      </c>
      <c r="F9" s="8">
        <v>1296</v>
      </c>
      <c r="G9" s="46">
        <v>4896</v>
      </c>
      <c r="H9" s="52">
        <v>32640</v>
      </c>
      <c r="I9" s="7">
        <v>1392</v>
      </c>
      <c r="J9" s="47">
        <v>12096</v>
      </c>
      <c r="K9" s="81">
        <v>0</v>
      </c>
      <c r="L9" s="51">
        <v>307</v>
      </c>
      <c r="M9" s="53">
        <v>888</v>
      </c>
      <c r="N9" s="54">
        <v>0</v>
      </c>
      <c r="O9" s="93">
        <v>12096</v>
      </c>
      <c r="P9" s="7">
        <v>788</v>
      </c>
      <c r="Q9" s="46">
        <v>866</v>
      </c>
      <c r="R9" s="93">
        <v>0</v>
      </c>
      <c r="S9" s="58">
        <v>0</v>
      </c>
      <c r="T9" s="53">
        <v>0</v>
      </c>
      <c r="U9" s="93">
        <v>0</v>
      </c>
      <c r="V9" s="93">
        <v>0</v>
      </c>
      <c r="W9" s="10">
        <v>192</v>
      </c>
      <c r="X9" s="93">
        <v>1391</v>
      </c>
      <c r="Y9" s="140">
        <v>3855.8</v>
      </c>
      <c r="Z9" s="135">
        <v>3855.8</v>
      </c>
      <c r="AA9" s="135">
        <v>214.3</v>
      </c>
      <c r="AB9" s="141">
        <v>0</v>
      </c>
      <c r="AC9" s="103">
        <f t="shared" si="1"/>
        <v>54.986076599999997</v>
      </c>
      <c r="AD9" s="104">
        <f t="shared" si="0"/>
        <v>20.049900000000001</v>
      </c>
      <c r="AE9" s="105">
        <f t="shared" si="2"/>
        <v>23.784554700000001</v>
      </c>
      <c r="AF9" s="71">
        <f t="shared" si="3"/>
        <v>98.820531299999999</v>
      </c>
      <c r="AT9" s="31"/>
    </row>
    <row r="10" spans="1:50" x14ac:dyDescent="0.25">
      <c r="A10" s="124" t="s">
        <v>3</v>
      </c>
      <c r="B10" s="46">
        <v>0</v>
      </c>
      <c r="C10" s="3">
        <v>0</v>
      </c>
      <c r="D10" s="3">
        <v>0</v>
      </c>
      <c r="E10" s="3">
        <v>1315</v>
      </c>
      <c r="F10" s="8">
        <v>1191</v>
      </c>
      <c r="G10" s="46">
        <v>10080</v>
      </c>
      <c r="H10" s="52">
        <v>0</v>
      </c>
      <c r="I10" s="7">
        <v>1540</v>
      </c>
      <c r="J10" s="47">
        <v>0</v>
      </c>
      <c r="K10" s="81">
        <v>0</v>
      </c>
      <c r="L10" s="51">
        <v>517</v>
      </c>
      <c r="M10" s="53">
        <v>936</v>
      </c>
      <c r="N10" s="54">
        <v>0</v>
      </c>
      <c r="O10" s="93">
        <v>0</v>
      </c>
      <c r="P10" s="7">
        <v>821</v>
      </c>
      <c r="Q10" s="46">
        <v>0</v>
      </c>
      <c r="R10" s="93">
        <v>0</v>
      </c>
      <c r="S10" s="58">
        <v>0</v>
      </c>
      <c r="T10" s="53">
        <v>0</v>
      </c>
      <c r="U10" s="93">
        <v>0</v>
      </c>
      <c r="V10" s="93">
        <v>0</v>
      </c>
      <c r="W10" s="10">
        <v>0</v>
      </c>
      <c r="X10" s="93">
        <v>1280</v>
      </c>
      <c r="Y10" s="140">
        <v>2899.3</v>
      </c>
      <c r="Z10" s="135">
        <v>2899.3</v>
      </c>
      <c r="AA10" s="135">
        <v>458.7</v>
      </c>
      <c r="AB10" s="142">
        <v>507.3</v>
      </c>
      <c r="AC10" s="103">
        <f t="shared" si="1"/>
        <v>11.672782099999999</v>
      </c>
      <c r="AD10" s="104">
        <f t="shared" si="0"/>
        <v>21.5657</v>
      </c>
      <c r="AE10" s="105">
        <f t="shared" si="2"/>
        <v>26.092436300000003</v>
      </c>
      <c r="AF10" s="71">
        <f t="shared" si="3"/>
        <v>59.330918400000002</v>
      </c>
      <c r="AI10" s="12"/>
      <c r="AJ10" s="12"/>
      <c r="AT10" s="31"/>
    </row>
    <row r="11" spans="1:50" x14ac:dyDescent="0.25">
      <c r="A11" s="124" t="s">
        <v>4</v>
      </c>
      <c r="B11" s="46">
        <v>7104</v>
      </c>
      <c r="C11" s="3">
        <v>480</v>
      </c>
      <c r="D11" s="3">
        <v>0</v>
      </c>
      <c r="E11" s="3">
        <f>313+1184</f>
        <v>1497</v>
      </c>
      <c r="F11" s="8">
        <v>709</v>
      </c>
      <c r="G11" s="46">
        <f>2304+7200</f>
        <v>9504</v>
      </c>
      <c r="H11" s="52">
        <v>32064</v>
      </c>
      <c r="I11" s="7">
        <v>1303</v>
      </c>
      <c r="J11" s="47">
        <v>10560</v>
      </c>
      <c r="K11" s="81">
        <v>2016</v>
      </c>
      <c r="L11" s="51">
        <v>175</v>
      </c>
      <c r="M11" s="53">
        <v>374</v>
      </c>
      <c r="N11" s="54">
        <v>0</v>
      </c>
      <c r="O11" s="93">
        <v>10560</v>
      </c>
      <c r="P11" s="7">
        <v>463</v>
      </c>
      <c r="Q11" s="46">
        <v>1504</v>
      </c>
      <c r="R11" s="93">
        <v>0</v>
      </c>
      <c r="S11" s="58">
        <v>0</v>
      </c>
      <c r="T11" s="53">
        <v>0</v>
      </c>
      <c r="U11" s="93">
        <v>0</v>
      </c>
      <c r="V11" s="93">
        <v>0</v>
      </c>
      <c r="W11" s="10">
        <v>0</v>
      </c>
      <c r="X11" s="93">
        <v>1028</v>
      </c>
      <c r="Y11" s="140">
        <v>2998.2</v>
      </c>
      <c r="Z11" s="135">
        <v>2998.2</v>
      </c>
      <c r="AA11" s="135">
        <v>0</v>
      </c>
      <c r="AB11" s="142">
        <v>1999.3</v>
      </c>
      <c r="AC11" s="103">
        <f t="shared" si="1"/>
        <v>56.340264399999995</v>
      </c>
      <c r="AD11" s="104">
        <f t="shared" si="0"/>
        <v>14.045</v>
      </c>
      <c r="AE11" s="105">
        <f t="shared" si="2"/>
        <v>37.142793999999995</v>
      </c>
      <c r="AF11" s="71">
        <f t="shared" si="3"/>
        <v>107.52805839999999</v>
      </c>
      <c r="AT11" s="31"/>
    </row>
    <row r="12" spans="1:50" x14ac:dyDescent="0.25">
      <c r="A12" s="124" t="s">
        <v>5</v>
      </c>
      <c r="B12" s="46">
        <v>7488</v>
      </c>
      <c r="C12" s="3">
        <v>1440</v>
      </c>
      <c r="D12" s="3">
        <v>0</v>
      </c>
      <c r="E12" s="3">
        <v>581</v>
      </c>
      <c r="F12" s="8">
        <v>1056</v>
      </c>
      <c r="G12" s="46">
        <v>7200</v>
      </c>
      <c r="H12" s="52">
        <v>36864</v>
      </c>
      <c r="I12" s="7">
        <v>733</v>
      </c>
      <c r="J12" s="47">
        <v>10368</v>
      </c>
      <c r="K12" s="81">
        <v>1152</v>
      </c>
      <c r="L12" s="51">
        <v>134</v>
      </c>
      <c r="M12" s="53">
        <v>191</v>
      </c>
      <c r="N12" s="54">
        <v>0</v>
      </c>
      <c r="O12" s="93">
        <v>10368</v>
      </c>
      <c r="P12" s="7">
        <v>286</v>
      </c>
      <c r="Q12" s="46">
        <v>756</v>
      </c>
      <c r="R12" s="93">
        <v>0</v>
      </c>
      <c r="S12" s="58">
        <v>0</v>
      </c>
      <c r="T12" s="53">
        <v>0</v>
      </c>
      <c r="U12" s="93">
        <v>0</v>
      </c>
      <c r="V12" s="93">
        <v>0</v>
      </c>
      <c r="W12" s="10">
        <v>192</v>
      </c>
      <c r="X12" s="93">
        <v>1023</v>
      </c>
      <c r="Y12" s="140">
        <v>2391.8000000000002</v>
      </c>
      <c r="Z12" s="135">
        <v>2391.8000000000002</v>
      </c>
      <c r="AA12" s="135">
        <v>0</v>
      </c>
      <c r="AB12" s="140">
        <v>853.2</v>
      </c>
      <c r="AC12" s="103">
        <f t="shared" si="1"/>
        <v>56.570463599999997</v>
      </c>
      <c r="AD12" s="104">
        <f t="shared" si="0"/>
        <v>11.707700000000001</v>
      </c>
      <c r="AE12" s="105">
        <f t="shared" si="2"/>
        <v>22.079656</v>
      </c>
      <c r="AF12" s="71">
        <f t="shared" si="3"/>
        <v>90.357819599999999</v>
      </c>
      <c r="AT12" s="31"/>
    </row>
    <row r="13" spans="1:50" x14ac:dyDescent="0.25">
      <c r="A13" s="124" t="s">
        <v>6</v>
      </c>
      <c r="B13" s="46">
        <v>7872</v>
      </c>
      <c r="C13" s="3">
        <v>1440</v>
      </c>
      <c r="D13" s="3">
        <v>0</v>
      </c>
      <c r="E13" s="3">
        <v>1581</v>
      </c>
      <c r="F13" s="8">
        <v>2</v>
      </c>
      <c r="G13" s="46">
        <v>2304</v>
      </c>
      <c r="H13" s="52">
        <v>25920</v>
      </c>
      <c r="I13" s="7">
        <v>917</v>
      </c>
      <c r="J13" s="47">
        <v>8064</v>
      </c>
      <c r="K13" s="81">
        <v>1728</v>
      </c>
      <c r="L13" s="51">
        <v>0</v>
      </c>
      <c r="M13" s="53">
        <v>20</v>
      </c>
      <c r="N13" s="54">
        <v>0</v>
      </c>
      <c r="O13" s="93">
        <v>8064</v>
      </c>
      <c r="P13" s="7">
        <v>18</v>
      </c>
      <c r="Q13" s="46">
        <v>272</v>
      </c>
      <c r="R13" s="93">
        <v>0</v>
      </c>
      <c r="S13" s="58">
        <v>0</v>
      </c>
      <c r="T13" s="53">
        <v>0</v>
      </c>
      <c r="U13" s="93">
        <v>0</v>
      </c>
      <c r="V13" s="93">
        <v>0</v>
      </c>
      <c r="W13" s="10">
        <v>192</v>
      </c>
      <c r="X13" s="93">
        <v>911</v>
      </c>
      <c r="Y13" s="140">
        <v>2920.4</v>
      </c>
      <c r="Z13" s="135">
        <v>2920.4</v>
      </c>
      <c r="AA13" s="135">
        <v>0</v>
      </c>
      <c r="AB13" s="143">
        <v>713.3</v>
      </c>
      <c r="AC13" s="103">
        <f t="shared" si="1"/>
        <v>43.3308988</v>
      </c>
      <c r="AD13" s="104">
        <f t="shared" si="0"/>
        <v>4.9661</v>
      </c>
      <c r="AE13" s="105">
        <f t="shared" si="2"/>
        <v>23.615634</v>
      </c>
      <c r="AF13" s="71">
        <f t="shared" si="3"/>
        <v>71.912632799999997</v>
      </c>
      <c r="AT13" s="31"/>
    </row>
    <row r="14" spans="1:50" x14ac:dyDescent="0.25">
      <c r="A14" s="124" t="s">
        <v>7</v>
      </c>
      <c r="B14" s="46">
        <v>7488</v>
      </c>
      <c r="C14" s="3">
        <v>960</v>
      </c>
      <c r="D14" s="3">
        <v>0</v>
      </c>
      <c r="E14" s="3">
        <v>1191</v>
      </c>
      <c r="F14" s="8">
        <v>0</v>
      </c>
      <c r="G14" s="46">
        <v>6624</v>
      </c>
      <c r="H14" s="52">
        <v>29568</v>
      </c>
      <c r="I14" s="7">
        <v>694</v>
      </c>
      <c r="J14" s="47">
        <v>6912</v>
      </c>
      <c r="K14" s="81">
        <v>2016</v>
      </c>
      <c r="L14" s="51">
        <v>0</v>
      </c>
      <c r="M14" s="53">
        <v>18</v>
      </c>
      <c r="N14" s="54">
        <v>0</v>
      </c>
      <c r="O14" s="93">
        <v>6912</v>
      </c>
      <c r="P14" s="7">
        <v>4</v>
      </c>
      <c r="Q14" s="46">
        <v>155</v>
      </c>
      <c r="R14" s="93">
        <v>0</v>
      </c>
      <c r="S14" s="58">
        <v>0</v>
      </c>
      <c r="T14" s="53">
        <v>0</v>
      </c>
      <c r="U14" s="93">
        <v>0</v>
      </c>
      <c r="V14" s="93">
        <v>0</v>
      </c>
      <c r="W14" s="10">
        <v>192</v>
      </c>
      <c r="X14" s="93">
        <v>855</v>
      </c>
      <c r="Y14" s="140">
        <v>3174</v>
      </c>
      <c r="Z14" s="135">
        <v>3174</v>
      </c>
      <c r="AA14" s="135">
        <v>0</v>
      </c>
      <c r="AB14" s="140">
        <v>711</v>
      </c>
      <c r="AC14" s="103">
        <f t="shared" si="1"/>
        <v>46.707954999999998</v>
      </c>
      <c r="AD14" s="104">
        <f t="shared" si="0"/>
        <v>3.6993999999999998</v>
      </c>
      <c r="AE14" s="105">
        <f t="shared" si="2"/>
        <v>25.01238</v>
      </c>
      <c r="AF14" s="71">
        <f t="shared" si="3"/>
        <v>75.419735000000003</v>
      </c>
      <c r="AT14" s="31"/>
    </row>
    <row r="15" spans="1:50" x14ac:dyDescent="0.25">
      <c r="A15" s="124" t="s">
        <v>8</v>
      </c>
      <c r="B15" s="46">
        <v>8832</v>
      </c>
      <c r="C15" s="3">
        <v>480</v>
      </c>
      <c r="D15" s="3">
        <v>0</v>
      </c>
      <c r="E15" s="3">
        <v>1180</v>
      </c>
      <c r="F15" s="8">
        <v>0</v>
      </c>
      <c r="G15" s="46">
        <v>6336</v>
      </c>
      <c r="H15" s="52">
        <v>29952</v>
      </c>
      <c r="I15" s="7">
        <v>848</v>
      </c>
      <c r="J15" s="47">
        <v>6912</v>
      </c>
      <c r="K15" s="81">
        <v>2304</v>
      </c>
      <c r="L15" s="51">
        <v>0</v>
      </c>
      <c r="M15" s="53">
        <v>18</v>
      </c>
      <c r="N15" s="54">
        <v>0</v>
      </c>
      <c r="O15" s="93">
        <v>6912</v>
      </c>
      <c r="P15" s="7">
        <v>4</v>
      </c>
      <c r="Q15" s="46">
        <v>167</v>
      </c>
      <c r="R15" s="93">
        <v>0</v>
      </c>
      <c r="S15" s="58">
        <v>0</v>
      </c>
      <c r="T15" s="53">
        <v>0</v>
      </c>
      <c r="U15" s="93">
        <v>0</v>
      </c>
      <c r="V15" s="93">
        <v>0</v>
      </c>
      <c r="W15" s="10">
        <v>192</v>
      </c>
      <c r="X15" s="93">
        <v>1117</v>
      </c>
      <c r="Y15" s="140">
        <v>2760.1</v>
      </c>
      <c r="Z15" s="135">
        <v>2760.1</v>
      </c>
      <c r="AA15" s="135">
        <v>0</v>
      </c>
      <c r="AB15" s="140">
        <v>686</v>
      </c>
      <c r="AC15" s="103">
        <f t="shared" si="1"/>
        <v>47.483604700000001</v>
      </c>
      <c r="AD15" s="104">
        <f t="shared" si="0"/>
        <v>4.5156000000000001</v>
      </c>
      <c r="AE15" s="105">
        <f t="shared" si="2"/>
        <v>22.44004</v>
      </c>
      <c r="AF15" s="71">
        <f t="shared" si="3"/>
        <v>74.439244700000003</v>
      </c>
      <c r="AT15" s="31"/>
    </row>
    <row r="16" spans="1:50" ht="15.75" thickBot="1" x14ac:dyDescent="0.3">
      <c r="A16" s="124" t="s">
        <v>9</v>
      </c>
      <c r="B16" s="46">
        <v>7296</v>
      </c>
      <c r="C16" s="3">
        <v>1440</v>
      </c>
      <c r="D16" s="3">
        <v>0</v>
      </c>
      <c r="E16" s="3">
        <v>974</v>
      </c>
      <c r="F16" s="8">
        <v>0</v>
      </c>
      <c r="G16" s="46">
        <v>6624</v>
      </c>
      <c r="H16" s="52">
        <v>33408</v>
      </c>
      <c r="I16" s="7">
        <v>723</v>
      </c>
      <c r="J16" s="47">
        <v>8064</v>
      </c>
      <c r="K16" s="81">
        <v>2016</v>
      </c>
      <c r="L16" s="51">
        <v>0</v>
      </c>
      <c r="M16" s="53">
        <v>19</v>
      </c>
      <c r="N16" s="54">
        <v>0</v>
      </c>
      <c r="O16" s="93">
        <v>8064</v>
      </c>
      <c r="P16" s="7">
        <v>3</v>
      </c>
      <c r="Q16" s="46">
        <v>173</v>
      </c>
      <c r="R16" s="93">
        <v>0</v>
      </c>
      <c r="S16" s="58">
        <v>0</v>
      </c>
      <c r="T16" s="53">
        <v>0</v>
      </c>
      <c r="U16" s="93">
        <v>0</v>
      </c>
      <c r="V16" s="93">
        <v>0</v>
      </c>
      <c r="W16" s="10">
        <v>192</v>
      </c>
      <c r="X16" s="93">
        <v>1181</v>
      </c>
      <c r="Y16" s="140">
        <v>2518.9</v>
      </c>
      <c r="Z16" s="135">
        <v>2518.9</v>
      </c>
      <c r="AA16" s="135">
        <v>0</v>
      </c>
      <c r="AB16" s="140">
        <v>728.9</v>
      </c>
      <c r="AC16" s="103">
        <f t="shared" si="1"/>
        <v>50.882719299999991</v>
      </c>
      <c r="AD16" s="104">
        <f t="shared" si="0"/>
        <v>3.8477999999999999</v>
      </c>
      <c r="AE16" s="105">
        <f t="shared" si="2"/>
        <v>21.526042</v>
      </c>
      <c r="AF16" s="71">
        <f t="shared" si="3"/>
        <v>76.256561299999987</v>
      </c>
      <c r="AH16" s="36" t="s">
        <v>109</v>
      </c>
      <c r="AI16" s="36"/>
      <c r="AJ16" s="94"/>
      <c r="AT16" s="31"/>
    </row>
    <row r="17" spans="1:54" ht="15.75" thickBot="1" x14ac:dyDescent="0.3">
      <c r="A17" s="124" t="s">
        <v>10</v>
      </c>
      <c r="B17" s="46">
        <v>6528</v>
      </c>
      <c r="C17" s="3">
        <v>0</v>
      </c>
      <c r="D17" s="3">
        <v>0</v>
      </c>
      <c r="E17" s="3">
        <v>1010</v>
      </c>
      <c r="F17" s="8">
        <v>11</v>
      </c>
      <c r="G17" s="46">
        <v>6912</v>
      </c>
      <c r="H17" s="52">
        <v>29952</v>
      </c>
      <c r="I17" s="7">
        <v>839</v>
      </c>
      <c r="J17" s="47">
        <v>8064</v>
      </c>
      <c r="K17" s="81">
        <v>2016</v>
      </c>
      <c r="L17" s="51">
        <v>310</v>
      </c>
      <c r="M17" s="53">
        <v>287</v>
      </c>
      <c r="N17" s="54">
        <v>0</v>
      </c>
      <c r="O17" s="93">
        <v>8064</v>
      </c>
      <c r="P17" s="7">
        <v>155</v>
      </c>
      <c r="Q17" s="46">
        <v>162</v>
      </c>
      <c r="R17" s="93">
        <v>0</v>
      </c>
      <c r="S17" s="58">
        <v>0</v>
      </c>
      <c r="T17" s="53">
        <v>0</v>
      </c>
      <c r="U17" s="93">
        <v>0</v>
      </c>
      <c r="V17" s="93">
        <v>0</v>
      </c>
      <c r="W17" s="10">
        <v>192</v>
      </c>
      <c r="X17" s="93">
        <v>1513</v>
      </c>
      <c r="Y17" s="140">
        <v>3677.5</v>
      </c>
      <c r="Z17" s="135">
        <v>3677.5</v>
      </c>
      <c r="AA17" s="135">
        <v>723.6</v>
      </c>
      <c r="AB17" s="140">
        <v>0</v>
      </c>
      <c r="AC17" s="103">
        <f t="shared" si="1"/>
        <v>48.342892499999998</v>
      </c>
      <c r="AD17" s="104">
        <f t="shared" si="0"/>
        <v>6.9695</v>
      </c>
      <c r="AE17" s="105">
        <f t="shared" si="2"/>
        <v>27.995704400000001</v>
      </c>
      <c r="AF17" s="71">
        <f t="shared" si="3"/>
        <v>83.30809690000001</v>
      </c>
      <c r="AH17" s="101" t="s">
        <v>17</v>
      </c>
      <c r="AI17" s="121" t="s">
        <v>108</v>
      </c>
      <c r="AJ17" s="102" t="s">
        <v>110</v>
      </c>
      <c r="AT17" s="31"/>
    </row>
    <row r="18" spans="1:54" x14ac:dyDescent="0.25">
      <c r="A18" s="124" t="s">
        <v>11</v>
      </c>
      <c r="B18" s="46">
        <v>6336</v>
      </c>
      <c r="C18" s="3">
        <v>0</v>
      </c>
      <c r="D18" s="3">
        <v>0</v>
      </c>
      <c r="E18" s="3">
        <v>1071</v>
      </c>
      <c r="F18" s="8">
        <v>1307</v>
      </c>
      <c r="G18" s="46">
        <v>8352</v>
      </c>
      <c r="H18" s="52">
        <v>30912</v>
      </c>
      <c r="I18" s="7">
        <v>1384</v>
      </c>
      <c r="J18" s="47">
        <v>9984</v>
      </c>
      <c r="K18" s="81">
        <v>2304</v>
      </c>
      <c r="L18" s="51">
        <v>864</v>
      </c>
      <c r="M18" s="53">
        <v>548</v>
      </c>
      <c r="N18" s="54">
        <v>0</v>
      </c>
      <c r="O18" s="93">
        <v>9984</v>
      </c>
      <c r="P18" s="7">
        <v>165</v>
      </c>
      <c r="Q18" s="46">
        <v>179</v>
      </c>
      <c r="R18" s="93">
        <v>0</v>
      </c>
      <c r="S18" s="58">
        <v>0</v>
      </c>
      <c r="T18" s="53">
        <v>0</v>
      </c>
      <c r="U18" s="93">
        <v>0</v>
      </c>
      <c r="V18" s="93">
        <v>0</v>
      </c>
      <c r="W18" s="10">
        <v>0</v>
      </c>
      <c r="X18" s="93">
        <v>1645</v>
      </c>
      <c r="Y18" s="140">
        <v>2602.6</v>
      </c>
      <c r="Z18" s="135">
        <v>2602.6</v>
      </c>
      <c r="AA18" s="135">
        <v>3461.8</v>
      </c>
      <c r="AB18" s="140">
        <v>0</v>
      </c>
      <c r="AC18" s="103">
        <f t="shared" si="1"/>
        <v>52.259743200000003</v>
      </c>
      <c r="AD18" s="104">
        <f t="shared" si="0"/>
        <v>19.716000000000001</v>
      </c>
      <c r="AE18" s="105">
        <f t="shared" si="2"/>
        <v>49.985312200000003</v>
      </c>
      <c r="AF18" s="71">
        <f t="shared" si="3"/>
        <v>121.96105540000002</v>
      </c>
      <c r="AH18" s="97" t="s">
        <v>104</v>
      </c>
      <c r="AI18" s="95">
        <v>378528</v>
      </c>
      <c r="AJ18" s="108" t="s">
        <v>18</v>
      </c>
      <c r="AT18" s="31"/>
    </row>
    <row r="19" spans="1:54" x14ac:dyDescent="0.25">
      <c r="A19" s="125" t="s">
        <v>14</v>
      </c>
      <c r="B19" s="88">
        <f t="shared" ref="B19:AE19" si="4">SUM(B7:B18)</f>
        <v>84480</v>
      </c>
      <c r="C19" s="89">
        <f t="shared" si="4"/>
        <v>6240</v>
      </c>
      <c r="D19" s="89">
        <f t="shared" si="4"/>
        <v>0</v>
      </c>
      <c r="E19" s="89">
        <f>SUM(E7:E18)</f>
        <v>11189</v>
      </c>
      <c r="F19" s="89">
        <f>SUM(F7:F18)</f>
        <v>7885</v>
      </c>
      <c r="G19" s="90">
        <f>SUM(G7:G18)</f>
        <v>68832</v>
      </c>
      <c r="H19" s="91">
        <f t="shared" si="4"/>
        <v>356160</v>
      </c>
      <c r="I19" s="89">
        <f>SUM(I7:I18)</f>
        <v>13946</v>
      </c>
      <c r="J19" s="89">
        <f t="shared" ref="J19:K19" si="5">SUM(J7:J18)</f>
        <v>104832</v>
      </c>
      <c r="K19" s="89">
        <f t="shared" si="5"/>
        <v>15552</v>
      </c>
      <c r="L19" s="90">
        <f>SUM(L7:L18)</f>
        <v>7252</v>
      </c>
      <c r="M19" s="91">
        <f>SUM(M7:M18)</f>
        <v>5861</v>
      </c>
      <c r="N19" s="90">
        <f t="shared" si="4"/>
        <v>0</v>
      </c>
      <c r="O19" s="88">
        <f>SUM(O7:O18)</f>
        <v>104832</v>
      </c>
      <c r="P19" s="89">
        <f>SUM(P7:P18)</f>
        <v>3752</v>
      </c>
      <c r="Q19" s="88">
        <f>SUM(Q7:Q18)</f>
        <v>4862</v>
      </c>
      <c r="R19" s="89">
        <f t="shared" ref="R19" si="6">SUM(R7:R18)</f>
        <v>102336</v>
      </c>
      <c r="S19" s="90">
        <f>SUM(S7:S18)</f>
        <v>93696</v>
      </c>
      <c r="T19" s="88">
        <f t="shared" ref="T19:V19" si="7">SUM(T7:T18)</f>
        <v>0</v>
      </c>
      <c r="U19" s="89">
        <f t="shared" si="7"/>
        <v>0</v>
      </c>
      <c r="V19" s="89">
        <f t="shared" si="7"/>
        <v>0</v>
      </c>
      <c r="W19" s="89">
        <f>SUM(W7:W18)</f>
        <v>1536</v>
      </c>
      <c r="X19" s="89">
        <f>SUM(X7:X18)</f>
        <v>15386</v>
      </c>
      <c r="Y19" s="90">
        <f t="shared" ref="Y19" si="8">SUM(Y7:Y18)</f>
        <v>37797.599999999999</v>
      </c>
      <c r="Z19" s="91">
        <f>SUM(Z7:Z18)</f>
        <v>37197.4</v>
      </c>
      <c r="AA19" s="89">
        <f>SUM(AA7:AA18)</f>
        <v>5558.1</v>
      </c>
      <c r="AB19" s="90">
        <f>SUM(AB7:AB18)</f>
        <v>6199</v>
      </c>
      <c r="AC19" s="106">
        <f>SUM(AC7:AC18)</f>
        <v>716.60926119999988</v>
      </c>
      <c r="AD19" s="107">
        <f t="shared" si="4"/>
        <v>174.02550000000005</v>
      </c>
      <c r="AE19" s="107">
        <f t="shared" si="4"/>
        <v>328.26506490000003</v>
      </c>
      <c r="AF19" s="92">
        <f>SUM(AF7:AF18)</f>
        <v>1218.8998260999999</v>
      </c>
      <c r="AH19" s="98" t="s">
        <v>105</v>
      </c>
      <c r="AI19" s="96">
        <v>103672</v>
      </c>
      <c r="AJ19" s="109" t="s">
        <v>18</v>
      </c>
      <c r="AT19" s="31"/>
    </row>
    <row r="20" spans="1:54" ht="15.75" thickBot="1" x14ac:dyDescent="0.3">
      <c r="A20" s="126" t="s">
        <v>41</v>
      </c>
      <c r="B20" s="48">
        <f t="shared" ref="B20:X20" si="9">7.07*10^-4</f>
        <v>7.0700000000000005E-4</v>
      </c>
      <c r="C20" s="4">
        <f t="shared" si="9"/>
        <v>7.0700000000000005E-4</v>
      </c>
      <c r="D20" s="4">
        <f t="shared" si="9"/>
        <v>7.0700000000000005E-4</v>
      </c>
      <c r="E20" s="4">
        <f t="shared" si="9"/>
        <v>7.0700000000000005E-4</v>
      </c>
      <c r="F20" s="5">
        <v>5.3E-3</v>
      </c>
      <c r="G20" s="59">
        <f>7.07*10^-4</f>
        <v>7.0700000000000005E-4</v>
      </c>
      <c r="H20" s="82">
        <f t="shared" si="9"/>
        <v>7.0700000000000005E-4</v>
      </c>
      <c r="I20" s="5">
        <v>5.3E-3</v>
      </c>
      <c r="J20" s="4">
        <f t="shared" si="9"/>
        <v>7.0700000000000005E-4</v>
      </c>
      <c r="K20" s="4">
        <f t="shared" si="9"/>
        <v>7.0700000000000005E-4</v>
      </c>
      <c r="L20" s="49">
        <v>5.3E-3</v>
      </c>
      <c r="M20" s="82">
        <f t="shared" ref="M20:Y20" si="10">7.07*10^-4</f>
        <v>7.0700000000000005E-4</v>
      </c>
      <c r="N20" s="49">
        <v>5.3E-3</v>
      </c>
      <c r="O20" s="48">
        <f>7.07*10^-4</f>
        <v>7.0700000000000005E-4</v>
      </c>
      <c r="P20" s="5">
        <v>5.3E-3</v>
      </c>
      <c r="Q20" s="48">
        <f t="shared" si="9"/>
        <v>7.0700000000000005E-4</v>
      </c>
      <c r="R20" s="4">
        <f t="shared" si="10"/>
        <v>7.0700000000000005E-4</v>
      </c>
      <c r="S20" s="59">
        <f t="shared" si="10"/>
        <v>7.0700000000000005E-4</v>
      </c>
      <c r="T20" s="48">
        <f t="shared" si="10"/>
        <v>7.0700000000000005E-4</v>
      </c>
      <c r="U20" s="4">
        <f t="shared" si="10"/>
        <v>7.0700000000000005E-4</v>
      </c>
      <c r="V20" s="4">
        <f t="shared" si="10"/>
        <v>7.0700000000000005E-4</v>
      </c>
      <c r="W20" s="4">
        <f t="shared" si="10"/>
        <v>7.0700000000000005E-4</v>
      </c>
      <c r="X20" s="4">
        <f t="shared" si="9"/>
        <v>7.0700000000000005E-4</v>
      </c>
      <c r="Y20" s="59">
        <f t="shared" si="10"/>
        <v>7.0700000000000005E-4</v>
      </c>
      <c r="Z20" s="136">
        <v>5.5999999999999999E-3</v>
      </c>
      <c r="AA20" s="5">
        <f>0.010229</f>
        <v>1.0229E-2</v>
      </c>
      <c r="AB20" s="64">
        <f>10.18*10^-3</f>
        <v>1.018E-2</v>
      </c>
      <c r="AC20" s="47">
        <v>1</v>
      </c>
      <c r="AD20" s="83">
        <v>1</v>
      </c>
      <c r="AE20" s="73">
        <v>1</v>
      </c>
      <c r="AF20" s="72">
        <v>1</v>
      </c>
      <c r="AH20" s="53" t="s">
        <v>106</v>
      </c>
      <c r="AI20" s="96">
        <v>71080</v>
      </c>
      <c r="AJ20" s="110" t="s">
        <v>18</v>
      </c>
      <c r="AT20" s="27"/>
    </row>
    <row r="21" spans="1:54" ht="16.899999999999999" customHeight="1" thickBot="1" x14ac:dyDescent="0.3">
      <c r="A21" s="127" t="s">
        <v>23</v>
      </c>
      <c r="B21" s="84">
        <f t="shared" ref="B21:C21" si="11">B19*B20</f>
        <v>59.727360000000004</v>
      </c>
      <c r="C21" s="85">
        <f t="shared" si="11"/>
        <v>4.4116800000000005</v>
      </c>
      <c r="D21" s="85">
        <f>D19*D20</f>
        <v>0</v>
      </c>
      <c r="E21" s="85">
        <f>E19*E20</f>
        <v>7.9106230000000002</v>
      </c>
      <c r="F21" s="85">
        <f>F19*F20</f>
        <v>41.790500000000002</v>
      </c>
      <c r="G21" s="86">
        <f>G19*G20</f>
        <v>48.664224000000004</v>
      </c>
      <c r="H21" s="87">
        <f t="shared" ref="H21" si="12">H19*H20</f>
        <v>251.80512000000002</v>
      </c>
      <c r="I21" s="85">
        <f>I19*I20</f>
        <v>73.913799999999995</v>
      </c>
      <c r="J21" s="85">
        <f t="shared" ref="J21:AE21" si="13">J19*J20</f>
        <v>74.116224000000003</v>
      </c>
      <c r="K21" s="85">
        <f t="shared" si="13"/>
        <v>10.995264000000001</v>
      </c>
      <c r="L21" s="86">
        <f t="shared" si="13"/>
        <v>38.435600000000001</v>
      </c>
      <c r="M21" s="87">
        <f t="shared" si="13"/>
        <v>4.1437270000000002</v>
      </c>
      <c r="N21" s="86">
        <f t="shared" si="13"/>
        <v>0</v>
      </c>
      <c r="O21" s="84">
        <f t="shared" si="13"/>
        <v>74.116224000000003</v>
      </c>
      <c r="P21" s="85">
        <f t="shared" si="13"/>
        <v>19.8856</v>
      </c>
      <c r="Q21" s="84">
        <f t="shared" si="13"/>
        <v>3.4374340000000001</v>
      </c>
      <c r="R21" s="85">
        <f t="shared" si="13"/>
        <v>72.351552000000012</v>
      </c>
      <c r="S21" s="86">
        <f t="shared" si="13"/>
        <v>66.243072000000012</v>
      </c>
      <c r="T21" s="84">
        <f t="shared" si="13"/>
        <v>0</v>
      </c>
      <c r="U21" s="85">
        <f t="shared" si="13"/>
        <v>0</v>
      </c>
      <c r="V21" s="85">
        <f t="shared" si="13"/>
        <v>0</v>
      </c>
      <c r="W21" s="85">
        <f t="shared" si="13"/>
        <v>1.085952</v>
      </c>
      <c r="X21" s="85">
        <f t="shared" si="13"/>
        <v>10.877902000000001</v>
      </c>
      <c r="Y21" s="86">
        <f t="shared" si="13"/>
        <v>26.722903200000001</v>
      </c>
      <c r="Z21" s="87">
        <f t="shared" si="13"/>
        <v>208.30544</v>
      </c>
      <c r="AA21" s="85">
        <f t="shared" si="13"/>
        <v>56.853804900000007</v>
      </c>
      <c r="AB21" s="86">
        <f t="shared" si="13"/>
        <v>63.105820000000001</v>
      </c>
      <c r="AC21" s="84">
        <f t="shared" si="13"/>
        <v>716.60926119999988</v>
      </c>
      <c r="AD21" s="85">
        <f t="shared" si="13"/>
        <v>174.02550000000005</v>
      </c>
      <c r="AE21" s="85">
        <f t="shared" si="13"/>
        <v>328.26506490000003</v>
      </c>
      <c r="AF21" s="74">
        <f>SUM(AC21,AD21,AE21)</f>
        <v>1218.8998260999999</v>
      </c>
      <c r="AH21" s="99" t="s">
        <v>107</v>
      </c>
      <c r="AI21" s="100">
        <f>SUM(AI18,AI19,AI20)</f>
        <v>553280</v>
      </c>
      <c r="AJ21" s="114">
        <f>(AF21*2204.62/AI21)</f>
        <v>4.8568734359033066</v>
      </c>
      <c r="AT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94"/>
    </row>
    <row r="23" spans="1:54" x14ac:dyDescent="0.25">
      <c r="B23" s="12" t="s">
        <v>123</v>
      </c>
      <c r="F23" s="35" t="s">
        <v>22</v>
      </c>
      <c r="AY23" s="94"/>
    </row>
    <row r="24" spans="1:54" ht="15.6" customHeight="1" x14ac:dyDescent="0.25">
      <c r="B24" t="s">
        <v>124</v>
      </c>
      <c r="F24" s="75" t="s">
        <v>125</v>
      </c>
      <c r="H24" s="75"/>
      <c r="I24" s="75"/>
      <c r="Q24" s="12"/>
      <c r="AY24" s="94"/>
    </row>
    <row r="25" spans="1:54" x14ac:dyDescent="0.25">
      <c r="L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94"/>
    </row>
    <row r="26" spans="1:54" x14ac:dyDescent="0.25"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94"/>
      <c r="Q27" s="20"/>
      <c r="R27" s="20"/>
      <c r="S27" s="94"/>
      <c r="T27" s="94"/>
      <c r="U27" s="12"/>
      <c r="V27" s="12"/>
      <c r="W27" s="12"/>
      <c r="X27" s="12"/>
      <c r="Y27" s="12"/>
      <c r="Z27" s="12"/>
    </row>
    <row r="28" spans="1:54" x14ac:dyDescent="0.25">
      <c r="P28" s="94"/>
      <c r="Q28" s="20"/>
      <c r="R28" s="20"/>
      <c r="S28" s="94"/>
      <c r="T28" s="94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9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9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9">
    <mergeCell ref="AC1:AF1"/>
    <mergeCell ref="AJ1:AT1"/>
    <mergeCell ref="H1:L1"/>
    <mergeCell ref="T1:Y1"/>
    <mergeCell ref="B1:G1"/>
    <mergeCell ref="M1:N1"/>
    <mergeCell ref="O1:P1"/>
    <mergeCell ref="Q1:S1"/>
    <mergeCell ref="Z1:AB1"/>
  </mergeCells>
  <hyperlinks>
    <hyperlink ref="F24" r:id="rId1"/>
    <hyperlink ref="F23" r:id="rId2"/>
  </hyperlinks>
  <pageMargins left="0.7" right="0.7" top="0.75" bottom="0.75" header="0.3" footer="0.3"/>
  <pageSetup paperSize="17" orientation="landscape" r:id="rId3"/>
  <headerFooter>
    <oddHeader>&amp;L&amp;"-,Bold"&amp;14Duluth Seaway Port Authority&amp;C&amp;"-,Bold"&amp;14Green Marine Greenhouse Gas Emisions &amp;R&amp;"-,Bold"&amp;14 2015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WhiteSpace="0" zoomScaleNormal="100" workbookViewId="0">
      <pane xSplit="1" topLeftCell="X1" activePane="topRight" state="frozen"/>
      <selection pane="topRight" activeCell="AE26" sqref="AE26"/>
    </sheetView>
  </sheetViews>
  <sheetFormatPr defaultRowHeight="15" x14ac:dyDescent="0.25"/>
  <cols>
    <col min="1" max="1" width="20.28515625" bestFit="1" customWidth="1"/>
    <col min="2" max="2" width="11.7109375" customWidth="1"/>
    <col min="3" max="3" width="15.28515625" bestFit="1" customWidth="1"/>
    <col min="4" max="4" width="12.7109375" customWidth="1"/>
    <col min="5" max="5" width="15.28515625" bestFit="1" customWidth="1"/>
    <col min="6" max="6" width="14.28515625" customWidth="1"/>
    <col min="7" max="7" width="14.85546875" customWidth="1"/>
    <col min="8" max="9" width="14.140625" customWidth="1"/>
    <col min="10" max="10" width="14.28515625" customWidth="1"/>
    <col min="11" max="11" width="15.28515625" bestFit="1" customWidth="1"/>
    <col min="12" max="12" width="14" customWidth="1"/>
    <col min="13" max="13" width="15.28515625" bestFit="1" customWidth="1"/>
    <col min="14" max="14" width="14.28515625" customWidth="1"/>
    <col min="15" max="15" width="15.2851562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6" width="13.85546875" customWidth="1"/>
    <col min="27" max="27" width="15.7109375" customWidth="1"/>
    <col min="28" max="28" width="16.5703125" customWidth="1"/>
    <col min="29" max="29" width="14.5703125" customWidth="1"/>
    <col min="30" max="30" width="15.42578125" customWidth="1"/>
    <col min="31" max="31" width="16.85546875" customWidth="1"/>
    <col min="32" max="33" width="15" bestFit="1" customWidth="1"/>
    <col min="34" max="34" width="16.5703125" customWidth="1"/>
    <col min="35" max="35" width="15" bestFit="1" customWidth="1"/>
    <col min="36" max="36" width="24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0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80"/>
      <c r="H1" s="178" t="s">
        <v>126</v>
      </c>
      <c r="I1" s="179"/>
      <c r="J1" s="179"/>
      <c r="K1" s="179"/>
      <c r="L1" s="180"/>
      <c r="M1" s="179" t="s">
        <v>47</v>
      </c>
      <c r="N1" s="179"/>
      <c r="O1" s="178" t="s">
        <v>90</v>
      </c>
      <c r="P1" s="180"/>
      <c r="Q1" s="178" t="s">
        <v>19</v>
      </c>
      <c r="R1" s="179"/>
      <c r="S1" s="180"/>
      <c r="T1" s="178" t="s">
        <v>92</v>
      </c>
      <c r="U1" s="179"/>
      <c r="V1" s="179"/>
      <c r="W1" s="179"/>
      <c r="X1" s="179"/>
      <c r="Y1" s="180"/>
      <c r="Z1" s="178" t="s">
        <v>129</v>
      </c>
      <c r="AA1" s="179"/>
      <c r="AB1" s="180"/>
      <c r="AC1" s="178" t="s">
        <v>93</v>
      </c>
      <c r="AD1" s="179"/>
      <c r="AE1" s="179"/>
      <c r="AF1" s="180"/>
      <c r="AG1" s="130"/>
      <c r="AH1" s="130"/>
      <c r="AI1" s="130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30"/>
      <c r="AV1" s="39"/>
      <c r="AW1" s="12"/>
      <c r="AX1" s="12"/>
    </row>
    <row r="2" spans="1:50" ht="78" customHeight="1" x14ac:dyDescent="0.25">
      <c r="A2" s="155" t="s">
        <v>156</v>
      </c>
      <c r="B2" s="40" t="s">
        <v>121</v>
      </c>
      <c r="C2" s="24" t="s">
        <v>83</v>
      </c>
      <c r="D2" s="24" t="s">
        <v>82</v>
      </c>
      <c r="E2" s="24" t="s">
        <v>122</v>
      </c>
      <c r="F2" s="25" t="s">
        <v>122</v>
      </c>
      <c r="G2" s="56" t="s">
        <v>12</v>
      </c>
      <c r="H2" s="77" t="s">
        <v>13</v>
      </c>
      <c r="I2" s="25" t="s">
        <v>13</v>
      </c>
      <c r="J2" s="24" t="s">
        <v>20</v>
      </c>
      <c r="K2" s="24" t="s">
        <v>99</v>
      </c>
      <c r="L2" s="41" t="s">
        <v>21</v>
      </c>
      <c r="M2" s="77" t="s">
        <v>47</v>
      </c>
      <c r="N2" s="41" t="s">
        <v>25</v>
      </c>
      <c r="O2" s="40" t="s">
        <v>90</v>
      </c>
      <c r="P2" s="25" t="s">
        <v>90</v>
      </c>
      <c r="Q2" s="40" t="s">
        <v>19</v>
      </c>
      <c r="R2" s="24" t="s">
        <v>84</v>
      </c>
      <c r="S2" s="56" t="s">
        <v>85</v>
      </c>
      <c r="T2" s="40" t="s">
        <v>86</v>
      </c>
      <c r="U2" s="24" t="s">
        <v>87</v>
      </c>
      <c r="V2" s="24" t="s">
        <v>88</v>
      </c>
      <c r="W2" s="24" t="s">
        <v>89</v>
      </c>
      <c r="X2" s="24" t="s">
        <v>100</v>
      </c>
      <c r="Y2" s="24" t="s">
        <v>46</v>
      </c>
      <c r="Z2" s="133" t="s">
        <v>148</v>
      </c>
      <c r="AA2" s="37" t="s">
        <v>145</v>
      </c>
      <c r="AB2" s="60" t="s">
        <v>146</v>
      </c>
      <c r="AC2" s="40" t="s">
        <v>95</v>
      </c>
      <c r="AD2" s="25" t="s">
        <v>111</v>
      </c>
      <c r="AE2" s="37" t="s">
        <v>147</v>
      </c>
      <c r="AF2" s="65" t="s">
        <v>96</v>
      </c>
      <c r="AN2" s="12"/>
      <c r="AO2" s="94"/>
      <c r="AQ2" s="94"/>
      <c r="AT2" s="28"/>
    </row>
    <row r="3" spans="1:50" x14ac:dyDescent="0.25">
      <c r="A3" s="152" t="s">
        <v>155</v>
      </c>
      <c r="B3" s="42" t="s">
        <v>42</v>
      </c>
      <c r="C3" s="6" t="s">
        <v>42</v>
      </c>
      <c r="D3" s="6" t="s">
        <v>42</v>
      </c>
      <c r="E3" s="6" t="s">
        <v>42</v>
      </c>
      <c r="F3" s="6" t="s">
        <v>42</v>
      </c>
      <c r="G3" s="43" t="s">
        <v>42</v>
      </c>
      <c r="H3" s="78" t="s">
        <v>42</v>
      </c>
      <c r="I3" s="6" t="s">
        <v>42</v>
      </c>
      <c r="J3" s="6" t="s">
        <v>42</v>
      </c>
      <c r="K3" s="6" t="s">
        <v>42</v>
      </c>
      <c r="L3" s="43" t="s">
        <v>42</v>
      </c>
      <c r="M3" s="78" t="s">
        <v>43</v>
      </c>
      <c r="N3" s="43" t="s">
        <v>42</v>
      </c>
      <c r="O3" s="42" t="s">
        <v>43</v>
      </c>
      <c r="P3" s="6" t="s">
        <v>43</v>
      </c>
      <c r="Q3" s="42" t="s">
        <v>42</v>
      </c>
      <c r="R3" s="6" t="s">
        <v>43</v>
      </c>
      <c r="S3" s="43" t="s">
        <v>43</v>
      </c>
      <c r="T3" s="42" t="s">
        <v>43</v>
      </c>
      <c r="U3" s="6" t="s">
        <v>43</v>
      </c>
      <c r="V3" s="6" t="s">
        <v>43</v>
      </c>
      <c r="W3" s="6" t="s">
        <v>43</v>
      </c>
      <c r="X3" s="6" t="s">
        <v>42</v>
      </c>
      <c r="Y3" s="6" t="s">
        <v>43</v>
      </c>
      <c r="Z3" s="78" t="s">
        <v>42</v>
      </c>
      <c r="AA3" s="6" t="s">
        <v>42</v>
      </c>
      <c r="AB3" s="43" t="s">
        <v>42</v>
      </c>
      <c r="AC3" s="66" t="s">
        <v>97</v>
      </c>
      <c r="AD3" s="11" t="s">
        <v>97</v>
      </c>
      <c r="AE3" s="21" t="s">
        <v>97</v>
      </c>
      <c r="AF3" s="67" t="s">
        <v>97</v>
      </c>
      <c r="AK3" s="94"/>
      <c r="AM3" s="33"/>
      <c r="AN3" s="33"/>
      <c r="AT3" s="28"/>
    </row>
    <row r="4" spans="1:50" ht="72" customHeight="1" x14ac:dyDescent="0.25">
      <c r="A4" s="153" t="s">
        <v>119</v>
      </c>
      <c r="B4" s="44" t="s">
        <v>36</v>
      </c>
      <c r="C4" s="15" t="s">
        <v>78</v>
      </c>
      <c r="D4" s="15" t="s">
        <v>81</v>
      </c>
      <c r="E4" s="15" t="s">
        <v>76</v>
      </c>
      <c r="F4" s="15" t="s">
        <v>28</v>
      </c>
      <c r="G4" s="50" t="s">
        <v>35</v>
      </c>
      <c r="H4" s="79" t="s">
        <v>34</v>
      </c>
      <c r="I4" s="15" t="s">
        <v>32</v>
      </c>
      <c r="J4" s="16" t="s">
        <v>72</v>
      </c>
      <c r="K4" s="16" t="s">
        <v>68</v>
      </c>
      <c r="L4" s="50" t="s">
        <v>29</v>
      </c>
      <c r="M4" s="111" t="s">
        <v>50</v>
      </c>
      <c r="N4" s="50" t="s">
        <v>27</v>
      </c>
      <c r="O4" s="112" t="s">
        <v>115</v>
      </c>
      <c r="P4" s="15" t="s">
        <v>115</v>
      </c>
      <c r="Q4" s="44" t="s">
        <v>24</v>
      </c>
      <c r="R4" s="15" t="s">
        <v>59</v>
      </c>
      <c r="S4" s="50" t="s">
        <v>58</v>
      </c>
      <c r="T4" s="44" t="s">
        <v>56</v>
      </c>
      <c r="U4" s="15" t="s">
        <v>52</v>
      </c>
      <c r="V4" s="15" t="s">
        <v>65</v>
      </c>
      <c r="W4" s="15" t="s">
        <v>64</v>
      </c>
      <c r="X4" s="16" t="s">
        <v>74</v>
      </c>
      <c r="Y4" s="15" t="s">
        <v>51</v>
      </c>
      <c r="Z4" s="111" t="s">
        <v>142</v>
      </c>
      <c r="AA4" s="15" t="s">
        <v>143</v>
      </c>
      <c r="AB4" s="50" t="s">
        <v>144</v>
      </c>
      <c r="AC4" s="68" t="s">
        <v>45</v>
      </c>
      <c r="AD4" s="17" t="s">
        <v>40</v>
      </c>
      <c r="AE4" s="22" t="s">
        <v>116</v>
      </c>
      <c r="AF4" s="69" t="s">
        <v>18</v>
      </c>
      <c r="AK4" s="14"/>
      <c r="AM4" s="14"/>
      <c r="AN4" s="14"/>
      <c r="AT4" s="29"/>
    </row>
    <row r="5" spans="1:50" x14ac:dyDescent="0.25">
      <c r="A5" s="154" t="s">
        <v>152</v>
      </c>
      <c r="B5" s="44" t="s">
        <v>37</v>
      </c>
      <c r="C5" s="15" t="s">
        <v>80</v>
      </c>
      <c r="D5" s="15" t="s">
        <v>79</v>
      </c>
      <c r="E5" s="15" t="s">
        <v>77</v>
      </c>
      <c r="F5" s="15" t="s">
        <v>30</v>
      </c>
      <c r="G5" s="50" t="s">
        <v>101</v>
      </c>
      <c r="H5" s="79" t="s">
        <v>38</v>
      </c>
      <c r="I5" s="15" t="s">
        <v>33</v>
      </c>
      <c r="J5" s="16" t="s">
        <v>73</v>
      </c>
      <c r="K5" s="16" t="s">
        <v>70</v>
      </c>
      <c r="L5" s="50" t="s">
        <v>31</v>
      </c>
      <c r="M5" s="111" t="s">
        <v>48</v>
      </c>
      <c r="N5" s="50" t="s">
        <v>39</v>
      </c>
      <c r="O5" s="44" t="s">
        <v>38</v>
      </c>
      <c r="P5" s="15" t="s">
        <v>114</v>
      </c>
      <c r="Q5" s="44" t="s">
        <v>26</v>
      </c>
      <c r="R5" s="15" t="s">
        <v>61</v>
      </c>
      <c r="S5" s="50" t="s">
        <v>60</v>
      </c>
      <c r="T5" s="44" t="s">
        <v>55</v>
      </c>
      <c r="U5" s="15" t="s">
        <v>53</v>
      </c>
      <c r="V5" s="15" t="s">
        <v>67</v>
      </c>
      <c r="W5" s="15" t="s">
        <v>66</v>
      </c>
      <c r="X5" s="16" t="s">
        <v>75</v>
      </c>
      <c r="Y5" s="15" t="s">
        <v>49</v>
      </c>
      <c r="Z5" s="111" t="s">
        <v>151</v>
      </c>
      <c r="AA5" s="15" t="s">
        <v>150</v>
      </c>
      <c r="AB5" s="50" t="s">
        <v>149</v>
      </c>
      <c r="AC5" s="68" t="s">
        <v>18</v>
      </c>
      <c r="AD5" s="17" t="s">
        <v>18</v>
      </c>
      <c r="AE5" s="22" t="s">
        <v>18</v>
      </c>
      <c r="AF5" s="69" t="s">
        <v>18</v>
      </c>
      <c r="AK5" s="94"/>
      <c r="AM5" s="94"/>
      <c r="AN5" s="94"/>
      <c r="AP5" s="94"/>
      <c r="AQ5" s="94"/>
      <c r="AR5" s="94"/>
      <c r="AS5" s="94"/>
      <c r="AT5" s="29"/>
    </row>
    <row r="6" spans="1:50" x14ac:dyDescent="0.25">
      <c r="A6" s="156" t="s">
        <v>102</v>
      </c>
      <c r="B6" s="45" t="s">
        <v>15</v>
      </c>
      <c r="C6" s="1" t="s">
        <v>15</v>
      </c>
      <c r="D6" s="1" t="s">
        <v>15</v>
      </c>
      <c r="E6" s="1" t="s">
        <v>15</v>
      </c>
      <c r="F6" s="18" t="s">
        <v>103</v>
      </c>
      <c r="G6" s="57" t="s">
        <v>15</v>
      </c>
      <c r="H6" s="80" t="s">
        <v>15</v>
      </c>
      <c r="I6" s="18" t="s">
        <v>103</v>
      </c>
      <c r="J6" s="1" t="s">
        <v>15</v>
      </c>
      <c r="K6" s="1" t="s">
        <v>15</v>
      </c>
      <c r="L6" s="129" t="s">
        <v>103</v>
      </c>
      <c r="M6" s="80" t="s">
        <v>15</v>
      </c>
      <c r="N6" s="76" t="s">
        <v>103</v>
      </c>
      <c r="O6" s="45" t="s">
        <v>15</v>
      </c>
      <c r="P6" s="76" t="s">
        <v>103</v>
      </c>
      <c r="Q6" s="45" t="s">
        <v>15</v>
      </c>
      <c r="R6" s="1" t="s">
        <v>15</v>
      </c>
      <c r="S6" s="57" t="s">
        <v>15</v>
      </c>
      <c r="T6" s="45" t="s">
        <v>15</v>
      </c>
      <c r="U6" s="1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23" t="s">
        <v>16</v>
      </c>
      <c r="AA6" s="23" t="s">
        <v>16</v>
      </c>
      <c r="AB6" s="55" t="s">
        <v>16</v>
      </c>
      <c r="AC6" s="45" t="s">
        <v>98</v>
      </c>
      <c r="AD6" s="18" t="s">
        <v>98</v>
      </c>
      <c r="AE6" s="23" t="s">
        <v>98</v>
      </c>
      <c r="AF6" s="70" t="s">
        <v>98</v>
      </c>
      <c r="AK6" s="34"/>
      <c r="AN6" s="94"/>
      <c r="AO6" s="94"/>
      <c r="AP6" s="94"/>
      <c r="AQ6" s="94"/>
      <c r="AR6" s="94"/>
      <c r="AS6" s="94"/>
      <c r="AT6" s="30"/>
    </row>
    <row r="7" spans="1:50" x14ac:dyDescent="0.25">
      <c r="A7" s="126" t="s">
        <v>0</v>
      </c>
      <c r="B7" s="46">
        <v>8448</v>
      </c>
      <c r="C7" s="3">
        <v>2880</v>
      </c>
      <c r="D7" s="3">
        <v>0</v>
      </c>
      <c r="E7" s="3">
        <v>2027</v>
      </c>
      <c r="F7" s="7">
        <v>1910</v>
      </c>
      <c r="G7" s="131">
        <v>9504</v>
      </c>
      <c r="H7" s="52">
        <v>31296</v>
      </c>
      <c r="I7" s="7">
        <v>1923</v>
      </c>
      <c r="J7" s="10">
        <v>14208</v>
      </c>
      <c r="K7" s="10">
        <v>2016</v>
      </c>
      <c r="L7" s="51">
        <v>1704</v>
      </c>
      <c r="M7" s="128">
        <v>895</v>
      </c>
      <c r="N7" s="54">
        <v>0</v>
      </c>
      <c r="O7" s="93">
        <v>14208</v>
      </c>
      <c r="P7" s="7">
        <v>842</v>
      </c>
      <c r="Q7" s="46">
        <v>738</v>
      </c>
      <c r="R7" s="93">
        <v>0</v>
      </c>
      <c r="S7" s="58">
        <v>0</v>
      </c>
      <c r="T7" s="53">
        <v>0</v>
      </c>
      <c r="U7" s="93">
        <v>0</v>
      </c>
      <c r="V7" s="93">
        <v>0</v>
      </c>
      <c r="W7" s="93">
        <v>0</v>
      </c>
      <c r="X7" s="10">
        <v>192</v>
      </c>
      <c r="Y7" s="93">
        <v>1690</v>
      </c>
      <c r="Z7" s="52">
        <v>4423.6000000000004</v>
      </c>
      <c r="AA7" s="7">
        <v>1081.4000000000001</v>
      </c>
      <c r="AB7" s="61">
        <v>0</v>
      </c>
      <c r="AC7" s="103">
        <f>SUM(G7,B7,E7,C7,D7,H7,J7,K7,M7,O7,Q7,R7,S7,T7,U7,V7,W7,X7,Y7)*0.000707</f>
        <v>62.288113999999993</v>
      </c>
      <c r="AD7" s="104">
        <f t="shared" ref="AD7:AD18" si="0">SUM(F7,I7,L7,N7,P7)*0.0053</f>
        <v>33.808700000000002</v>
      </c>
      <c r="AE7" s="105">
        <f>SUM(Z7*Z$20,AA7*AA$20,AB7*AB$20)</f>
        <v>35.833800600000004</v>
      </c>
      <c r="AF7" s="71">
        <f>SUM(AC7,AD7,AE7)</f>
        <v>131.93061460000001</v>
      </c>
      <c r="AK7" s="12"/>
      <c r="AN7" s="12"/>
      <c r="AO7" s="12"/>
      <c r="AP7" s="12"/>
      <c r="AQ7" s="12"/>
      <c r="AR7" s="12"/>
      <c r="AS7" s="12"/>
      <c r="AT7" s="31"/>
    </row>
    <row r="8" spans="1:50" ht="14.45" customHeight="1" x14ac:dyDescent="0.25">
      <c r="A8" s="126" t="s">
        <v>1</v>
      </c>
      <c r="B8" s="46">
        <v>10176</v>
      </c>
      <c r="C8" s="3">
        <v>0</v>
      </c>
      <c r="D8" s="3">
        <v>265</v>
      </c>
      <c r="E8" s="3">
        <v>1620</v>
      </c>
      <c r="F8" s="7">
        <v>1895</v>
      </c>
      <c r="G8" s="131">
        <v>10080</v>
      </c>
      <c r="H8" s="52">
        <v>34944</v>
      </c>
      <c r="I8" s="7">
        <v>2381</v>
      </c>
      <c r="J8" s="10">
        <v>12096</v>
      </c>
      <c r="K8" s="10">
        <v>2592</v>
      </c>
      <c r="L8" s="51">
        <v>2447</v>
      </c>
      <c r="M8" s="128">
        <v>862</v>
      </c>
      <c r="N8" s="54">
        <v>0</v>
      </c>
      <c r="O8" s="93">
        <v>12096</v>
      </c>
      <c r="P8" s="7">
        <v>875</v>
      </c>
      <c r="Q8" s="46">
        <v>1891</v>
      </c>
      <c r="R8" s="93">
        <v>0</v>
      </c>
      <c r="S8" s="58">
        <v>20352</v>
      </c>
      <c r="T8" s="53">
        <v>0</v>
      </c>
      <c r="U8" s="93">
        <v>0</v>
      </c>
      <c r="V8" s="93">
        <v>0</v>
      </c>
      <c r="W8" s="93">
        <v>0</v>
      </c>
      <c r="X8" s="10">
        <v>192</v>
      </c>
      <c r="Y8" s="93">
        <v>1636</v>
      </c>
      <c r="Z8" s="52">
        <v>3252.8</v>
      </c>
      <c r="AA8" s="7">
        <v>1502.1</v>
      </c>
      <c r="AB8" s="61">
        <v>0</v>
      </c>
      <c r="AC8" s="103">
        <f t="shared" ref="AC8:AC18" si="1">SUM(G8,B8,E8,C8,D8,H8,J8,K8,M8,O8,Q8,R8,S8,T8,U8,V8,W8,X8,Y8)*0.000707</f>
        <v>76.923013999999995</v>
      </c>
      <c r="AD8" s="104">
        <f t="shared" si="0"/>
        <v>40.269399999999997</v>
      </c>
      <c r="AE8" s="105">
        <f t="shared" ref="AE8:AE18" si="2">SUM(Z8*Z$20,AA8*AA$20,AB8*AB$20)</f>
        <v>33.580660899999998</v>
      </c>
      <c r="AF8" s="71">
        <f t="shared" ref="AF8:AF18" si="3">SUM(AC8,AD8,AE8)</f>
        <v>150.77307489999998</v>
      </c>
      <c r="AT8" s="31"/>
    </row>
    <row r="9" spans="1:50" x14ac:dyDescent="0.25">
      <c r="A9" s="126" t="s">
        <v>2</v>
      </c>
      <c r="B9" s="46">
        <v>10368</v>
      </c>
      <c r="C9" s="3">
        <v>480</v>
      </c>
      <c r="D9" s="3">
        <v>0</v>
      </c>
      <c r="E9" s="3">
        <v>1920</v>
      </c>
      <c r="F9" s="7">
        <v>1487</v>
      </c>
      <c r="G9" s="131">
        <v>12672</v>
      </c>
      <c r="H9" s="52">
        <v>34560</v>
      </c>
      <c r="I9" s="7">
        <v>2199</v>
      </c>
      <c r="J9" s="10">
        <v>14976</v>
      </c>
      <c r="K9" s="10">
        <v>2304</v>
      </c>
      <c r="L9" s="51">
        <v>465</v>
      </c>
      <c r="M9" s="128">
        <v>719</v>
      </c>
      <c r="N9" s="54">
        <v>0</v>
      </c>
      <c r="O9" s="93">
        <v>14976</v>
      </c>
      <c r="P9" s="7">
        <v>824</v>
      </c>
      <c r="Q9" s="46">
        <v>1462</v>
      </c>
      <c r="R9" s="93">
        <v>0</v>
      </c>
      <c r="S9" s="58">
        <v>0</v>
      </c>
      <c r="T9" s="53">
        <v>0</v>
      </c>
      <c r="U9" s="93">
        <v>0</v>
      </c>
      <c r="V9" s="93">
        <v>0</v>
      </c>
      <c r="W9" s="93">
        <v>0</v>
      </c>
      <c r="X9" s="10">
        <v>192</v>
      </c>
      <c r="Y9" s="93">
        <v>1413</v>
      </c>
      <c r="Z9" s="52">
        <v>3353.1</v>
      </c>
      <c r="AA9" s="7">
        <v>1389.4</v>
      </c>
      <c r="AB9" s="61">
        <v>0</v>
      </c>
      <c r="AC9" s="103">
        <f t="shared" si="1"/>
        <v>67.901693999999992</v>
      </c>
      <c r="AD9" s="104">
        <f t="shared" si="0"/>
        <v>26.3675</v>
      </c>
      <c r="AE9" s="105">
        <f t="shared" si="2"/>
        <v>32.989532599999997</v>
      </c>
      <c r="AF9" s="71">
        <f t="shared" si="3"/>
        <v>127.25872659999999</v>
      </c>
      <c r="AT9" s="31"/>
    </row>
    <row r="10" spans="1:50" x14ac:dyDescent="0.25">
      <c r="A10" s="124" t="s">
        <v>3</v>
      </c>
      <c r="B10" s="46">
        <v>9600</v>
      </c>
      <c r="C10" s="3">
        <v>480</v>
      </c>
      <c r="D10" s="3">
        <v>0</v>
      </c>
      <c r="E10" s="3">
        <v>1566</v>
      </c>
      <c r="F10" s="7">
        <v>1247</v>
      </c>
      <c r="G10" s="131">
        <v>12096</v>
      </c>
      <c r="H10" s="52">
        <v>36672</v>
      </c>
      <c r="I10" s="7">
        <v>1837</v>
      </c>
      <c r="J10" s="10">
        <v>9600</v>
      </c>
      <c r="K10" s="10">
        <v>2304</v>
      </c>
      <c r="L10" s="51">
        <v>29</v>
      </c>
      <c r="M10" s="128">
        <v>809</v>
      </c>
      <c r="N10" s="54">
        <v>0</v>
      </c>
      <c r="O10" s="93">
        <v>9600</v>
      </c>
      <c r="P10" s="7">
        <v>993</v>
      </c>
      <c r="Q10" s="46">
        <v>759</v>
      </c>
      <c r="R10" s="93">
        <v>0</v>
      </c>
      <c r="S10" s="58">
        <v>0</v>
      </c>
      <c r="T10" s="53">
        <v>0</v>
      </c>
      <c r="U10" s="93">
        <v>0</v>
      </c>
      <c r="V10" s="93">
        <v>0</v>
      </c>
      <c r="W10" s="93">
        <v>0</v>
      </c>
      <c r="X10" s="10">
        <v>192</v>
      </c>
      <c r="Y10" s="93">
        <v>1218</v>
      </c>
      <c r="Z10" s="52">
        <v>2740.27</v>
      </c>
      <c r="AA10" s="7">
        <v>228.9</v>
      </c>
      <c r="AB10" s="113">
        <v>770.2</v>
      </c>
      <c r="AC10" s="103">
        <f t="shared" si="1"/>
        <v>60.021471999999996</v>
      </c>
      <c r="AD10" s="104">
        <f t="shared" si="0"/>
        <v>21.761800000000001</v>
      </c>
      <c r="AE10" s="105">
        <f t="shared" si="2"/>
        <v>25.527566099999998</v>
      </c>
      <c r="AF10" s="71">
        <f t="shared" si="3"/>
        <v>107.3108381</v>
      </c>
      <c r="AI10" s="12"/>
      <c r="AJ10" s="12"/>
      <c r="AT10" s="31"/>
    </row>
    <row r="11" spans="1:50" x14ac:dyDescent="0.25">
      <c r="A11" s="124" t="s">
        <v>4</v>
      </c>
      <c r="B11" s="46">
        <v>9408</v>
      </c>
      <c r="C11" s="3">
        <v>0</v>
      </c>
      <c r="D11" s="3">
        <v>0</v>
      </c>
      <c r="E11" s="3">
        <v>1632</v>
      </c>
      <c r="F11" s="7">
        <v>1066</v>
      </c>
      <c r="G11" s="131">
        <v>8928</v>
      </c>
      <c r="H11" s="52">
        <v>33024</v>
      </c>
      <c r="I11" s="7">
        <v>1808</v>
      </c>
      <c r="J11" s="10">
        <v>12288</v>
      </c>
      <c r="K11" s="10">
        <v>2592</v>
      </c>
      <c r="L11" s="51">
        <v>16</v>
      </c>
      <c r="M11" s="128">
        <v>492</v>
      </c>
      <c r="N11" s="54">
        <v>0</v>
      </c>
      <c r="O11" s="93">
        <v>12288</v>
      </c>
      <c r="P11" s="7">
        <v>456</v>
      </c>
      <c r="Q11" s="46">
        <v>706</v>
      </c>
      <c r="R11" s="93">
        <v>0</v>
      </c>
      <c r="S11" s="58">
        <v>0</v>
      </c>
      <c r="T11" s="53">
        <v>0</v>
      </c>
      <c r="U11" s="93">
        <v>0</v>
      </c>
      <c r="V11" s="93">
        <v>0</v>
      </c>
      <c r="W11" s="93">
        <v>0</v>
      </c>
      <c r="X11" s="10">
        <v>192</v>
      </c>
      <c r="Y11" s="93">
        <v>1063</v>
      </c>
      <c r="Z11" s="52">
        <v>3003.2</v>
      </c>
      <c r="AA11" s="7">
        <v>0</v>
      </c>
      <c r="AB11" s="113">
        <v>1210.3</v>
      </c>
      <c r="AC11" s="103">
        <f t="shared" si="1"/>
        <v>58.407390999999997</v>
      </c>
      <c r="AD11" s="104">
        <f t="shared" si="0"/>
        <v>17.733799999999999</v>
      </c>
      <c r="AE11" s="105">
        <f t="shared" si="2"/>
        <v>29.138773999999998</v>
      </c>
      <c r="AF11" s="71">
        <f t="shared" si="3"/>
        <v>105.27996499999999</v>
      </c>
      <c r="AT11" s="31"/>
    </row>
    <row r="12" spans="1:50" x14ac:dyDescent="0.25">
      <c r="A12" s="124" t="s">
        <v>5</v>
      </c>
      <c r="B12" s="46">
        <v>8256</v>
      </c>
      <c r="C12" s="3">
        <v>480</v>
      </c>
      <c r="D12" s="3">
        <v>0</v>
      </c>
      <c r="E12" s="3">
        <v>1526</v>
      </c>
      <c r="F12" s="7">
        <v>329</v>
      </c>
      <c r="G12" s="131">
        <v>8928</v>
      </c>
      <c r="H12" s="52">
        <v>34752</v>
      </c>
      <c r="I12" s="7">
        <v>1404</v>
      </c>
      <c r="J12" s="10">
        <v>8448</v>
      </c>
      <c r="K12" s="10">
        <v>2304</v>
      </c>
      <c r="L12" s="51">
        <v>9</v>
      </c>
      <c r="M12" s="128">
        <v>141</v>
      </c>
      <c r="N12" s="54">
        <v>0</v>
      </c>
      <c r="O12" s="93">
        <v>8448</v>
      </c>
      <c r="P12" s="7">
        <v>85</v>
      </c>
      <c r="Q12" s="46">
        <v>696</v>
      </c>
      <c r="R12" s="93">
        <v>0</v>
      </c>
      <c r="S12" s="58">
        <v>0</v>
      </c>
      <c r="T12" s="53">
        <v>0</v>
      </c>
      <c r="U12" s="93">
        <v>0</v>
      </c>
      <c r="V12" s="93">
        <v>0</v>
      </c>
      <c r="W12" s="93">
        <v>0</v>
      </c>
      <c r="X12" s="10">
        <v>192</v>
      </c>
      <c r="Y12" s="93">
        <v>966</v>
      </c>
      <c r="Z12" s="52">
        <v>3339</v>
      </c>
      <c r="AA12" s="7">
        <v>0</v>
      </c>
      <c r="AB12" s="47">
        <v>1204.9000000000001</v>
      </c>
      <c r="AC12" s="103">
        <f t="shared" si="1"/>
        <v>53.121858999999994</v>
      </c>
      <c r="AD12" s="104">
        <f t="shared" si="0"/>
        <v>9.6830999999999996</v>
      </c>
      <c r="AE12" s="105">
        <f t="shared" si="2"/>
        <v>30.964282000000001</v>
      </c>
      <c r="AF12" s="71">
        <f t="shared" si="3"/>
        <v>93.769240999999994</v>
      </c>
      <c r="AT12" s="31"/>
    </row>
    <row r="13" spans="1:50" x14ac:dyDescent="0.25">
      <c r="A13" s="124" t="s">
        <v>6</v>
      </c>
      <c r="B13" s="46">
        <v>15168</v>
      </c>
      <c r="C13" s="3">
        <v>2400</v>
      </c>
      <c r="D13" s="3">
        <v>0</v>
      </c>
      <c r="E13" s="3">
        <v>2755</v>
      </c>
      <c r="F13" s="7">
        <v>0</v>
      </c>
      <c r="G13" s="131">
        <v>13536</v>
      </c>
      <c r="H13" s="52">
        <v>57792</v>
      </c>
      <c r="I13" s="7">
        <v>1033</v>
      </c>
      <c r="J13" s="10">
        <v>14784</v>
      </c>
      <c r="K13" s="10">
        <v>4320</v>
      </c>
      <c r="L13" s="51">
        <v>22</v>
      </c>
      <c r="M13" s="128">
        <v>96</v>
      </c>
      <c r="N13" s="54">
        <v>0</v>
      </c>
      <c r="O13" s="93">
        <v>14784</v>
      </c>
      <c r="P13" s="7">
        <v>18</v>
      </c>
      <c r="Q13" s="46">
        <v>504</v>
      </c>
      <c r="R13" s="93">
        <v>0</v>
      </c>
      <c r="S13" s="58">
        <v>0</v>
      </c>
      <c r="T13" s="53">
        <v>0</v>
      </c>
      <c r="U13" s="93">
        <v>0</v>
      </c>
      <c r="V13" s="93">
        <v>0</v>
      </c>
      <c r="W13" s="93">
        <v>0</v>
      </c>
      <c r="X13" s="10">
        <v>384</v>
      </c>
      <c r="Y13" s="93">
        <v>1004</v>
      </c>
      <c r="Z13" s="52">
        <v>2771.9</v>
      </c>
      <c r="AA13" s="7">
        <v>0</v>
      </c>
      <c r="AB13" s="62">
        <v>2533.6</v>
      </c>
      <c r="AC13" s="103">
        <f t="shared" si="1"/>
        <v>90.161588999999992</v>
      </c>
      <c r="AD13" s="104">
        <f t="shared" si="0"/>
        <v>5.6868999999999996</v>
      </c>
      <c r="AE13" s="105">
        <f t="shared" si="2"/>
        <v>41.314687999999997</v>
      </c>
      <c r="AF13" s="71">
        <f t="shared" si="3"/>
        <v>137.16317699999999</v>
      </c>
      <c r="AT13" s="31"/>
    </row>
    <row r="14" spans="1:50" x14ac:dyDescent="0.25">
      <c r="A14" s="124" t="s">
        <v>7</v>
      </c>
      <c r="B14" s="46">
        <v>9984</v>
      </c>
      <c r="C14" s="3">
        <v>960</v>
      </c>
      <c r="D14" s="3">
        <v>0</v>
      </c>
      <c r="E14" s="3">
        <v>1234</v>
      </c>
      <c r="F14" s="7">
        <v>0</v>
      </c>
      <c r="G14" s="131">
        <v>6048</v>
      </c>
      <c r="H14" s="52">
        <v>33600</v>
      </c>
      <c r="I14" s="7">
        <v>902</v>
      </c>
      <c r="J14" s="10">
        <v>7872</v>
      </c>
      <c r="K14" s="10">
        <v>2016</v>
      </c>
      <c r="L14" s="51">
        <v>0</v>
      </c>
      <c r="M14" s="128">
        <v>101</v>
      </c>
      <c r="N14" s="54">
        <v>0</v>
      </c>
      <c r="O14" s="93">
        <v>7872</v>
      </c>
      <c r="P14" s="7">
        <v>4</v>
      </c>
      <c r="Q14" s="46">
        <v>171</v>
      </c>
      <c r="R14" s="93">
        <v>0</v>
      </c>
      <c r="S14" s="58">
        <v>0</v>
      </c>
      <c r="T14" s="53">
        <v>0</v>
      </c>
      <c r="U14" s="93">
        <v>0</v>
      </c>
      <c r="V14" s="93">
        <v>0</v>
      </c>
      <c r="W14" s="93">
        <v>0</v>
      </c>
      <c r="X14" s="10">
        <v>192</v>
      </c>
      <c r="Y14" s="93">
        <v>0</v>
      </c>
      <c r="Z14" s="52">
        <v>2755.8</v>
      </c>
      <c r="AA14" s="7">
        <v>0</v>
      </c>
      <c r="AB14" s="47">
        <v>675.1</v>
      </c>
      <c r="AC14" s="103">
        <f t="shared" si="1"/>
        <v>49.525349999999996</v>
      </c>
      <c r="AD14" s="104">
        <f t="shared" si="0"/>
        <v>4.8018000000000001</v>
      </c>
      <c r="AE14" s="105">
        <f t="shared" si="2"/>
        <v>22.304998000000001</v>
      </c>
      <c r="AF14" s="71">
        <f t="shared" si="3"/>
        <v>76.632148000000001</v>
      </c>
      <c r="AT14" s="31"/>
    </row>
    <row r="15" spans="1:50" x14ac:dyDescent="0.25">
      <c r="A15" s="124" t="s">
        <v>8</v>
      </c>
      <c r="B15" s="46">
        <v>8448</v>
      </c>
      <c r="C15" s="3">
        <v>0</v>
      </c>
      <c r="D15" s="3">
        <v>0</v>
      </c>
      <c r="E15" s="3">
        <v>1222</v>
      </c>
      <c r="F15" s="7">
        <v>0</v>
      </c>
      <c r="G15" s="131">
        <v>5760</v>
      </c>
      <c r="H15" s="52">
        <v>26688</v>
      </c>
      <c r="I15" s="7">
        <v>1165</v>
      </c>
      <c r="J15" s="10">
        <v>7872</v>
      </c>
      <c r="K15" s="10">
        <v>2016</v>
      </c>
      <c r="L15" s="51">
        <v>0</v>
      </c>
      <c r="M15" s="128">
        <v>101</v>
      </c>
      <c r="N15" s="54">
        <v>0</v>
      </c>
      <c r="O15" s="93">
        <v>7872</v>
      </c>
      <c r="P15" s="7">
        <v>5</v>
      </c>
      <c r="Q15" s="46">
        <v>149</v>
      </c>
      <c r="R15" s="93">
        <v>0</v>
      </c>
      <c r="S15" s="58">
        <v>0</v>
      </c>
      <c r="T15" s="53">
        <v>0</v>
      </c>
      <c r="U15" s="93">
        <v>0</v>
      </c>
      <c r="V15" s="93">
        <v>0</v>
      </c>
      <c r="W15" s="93">
        <v>0</v>
      </c>
      <c r="X15" s="10">
        <v>192</v>
      </c>
      <c r="Y15" s="93">
        <v>526</v>
      </c>
      <c r="Z15" s="52">
        <v>3628.7</v>
      </c>
      <c r="AA15" s="7">
        <v>0</v>
      </c>
      <c r="AB15" s="47">
        <v>1191.9000000000001</v>
      </c>
      <c r="AC15" s="103">
        <f t="shared" si="1"/>
        <v>43.018121999999998</v>
      </c>
      <c r="AD15" s="104">
        <f t="shared" si="0"/>
        <v>6.2009999999999996</v>
      </c>
      <c r="AE15" s="105">
        <f t="shared" si="2"/>
        <v>32.454262</v>
      </c>
      <c r="AF15" s="71">
        <f t="shared" si="3"/>
        <v>81.673383999999999</v>
      </c>
      <c r="AT15" s="31"/>
    </row>
    <row r="16" spans="1:50" ht="15.75" thickBot="1" x14ac:dyDescent="0.3">
      <c r="A16" s="124" t="s">
        <v>9</v>
      </c>
      <c r="B16" s="46">
        <v>7680</v>
      </c>
      <c r="C16" s="3">
        <v>0</v>
      </c>
      <c r="D16" s="3">
        <v>0</v>
      </c>
      <c r="E16" s="3">
        <v>915</v>
      </c>
      <c r="F16" s="7">
        <v>0</v>
      </c>
      <c r="G16" s="131">
        <v>6624</v>
      </c>
      <c r="H16" s="52">
        <v>31296</v>
      </c>
      <c r="I16" s="7">
        <v>949</v>
      </c>
      <c r="J16" s="10">
        <v>7872</v>
      </c>
      <c r="K16" s="10">
        <v>2016</v>
      </c>
      <c r="L16" s="51">
        <v>0</v>
      </c>
      <c r="M16" s="128">
        <v>102</v>
      </c>
      <c r="N16" s="54">
        <v>0</v>
      </c>
      <c r="O16" s="93">
        <v>7872</v>
      </c>
      <c r="P16" s="7">
        <v>25</v>
      </c>
      <c r="Q16" s="46">
        <v>166</v>
      </c>
      <c r="R16" s="93">
        <v>0</v>
      </c>
      <c r="S16" s="58">
        <v>0</v>
      </c>
      <c r="T16" s="53">
        <v>0</v>
      </c>
      <c r="U16" s="93">
        <v>0</v>
      </c>
      <c r="V16" s="93">
        <v>0</v>
      </c>
      <c r="W16" s="93">
        <v>0</v>
      </c>
      <c r="X16" s="10">
        <v>192</v>
      </c>
      <c r="Y16" s="93">
        <v>1168</v>
      </c>
      <c r="Z16" s="52">
        <v>2039.1</v>
      </c>
      <c r="AA16" s="7">
        <v>0</v>
      </c>
      <c r="AB16" s="47">
        <v>837</v>
      </c>
      <c r="AC16" s="103">
        <f t="shared" si="1"/>
        <v>46.593420999999999</v>
      </c>
      <c r="AD16" s="104">
        <f t="shared" si="0"/>
        <v>5.1622000000000003</v>
      </c>
      <c r="AE16" s="105">
        <f t="shared" si="2"/>
        <v>19.939619999999998</v>
      </c>
      <c r="AF16" s="71">
        <f t="shared" si="3"/>
        <v>71.695240999999996</v>
      </c>
      <c r="AH16" s="36" t="s">
        <v>109</v>
      </c>
      <c r="AI16" s="36"/>
      <c r="AJ16" s="94"/>
      <c r="AT16" s="31"/>
    </row>
    <row r="17" spans="1:54" ht="15.75" thickBot="1" x14ac:dyDescent="0.3">
      <c r="A17" s="124" t="s">
        <v>10</v>
      </c>
      <c r="B17" s="46">
        <v>8640</v>
      </c>
      <c r="C17" s="3">
        <v>480</v>
      </c>
      <c r="D17" s="3">
        <v>0</v>
      </c>
      <c r="E17" s="3">
        <v>878</v>
      </c>
      <c r="F17" s="7">
        <v>0</v>
      </c>
      <c r="G17" s="131">
        <v>9216</v>
      </c>
      <c r="H17" s="52">
        <v>34176</v>
      </c>
      <c r="I17" s="7">
        <v>1349</v>
      </c>
      <c r="J17" s="10">
        <v>9216</v>
      </c>
      <c r="K17" s="10">
        <v>2304</v>
      </c>
      <c r="L17" s="51">
        <v>223</v>
      </c>
      <c r="M17" s="128">
        <v>704</v>
      </c>
      <c r="N17" s="54">
        <v>0</v>
      </c>
      <c r="O17" s="93">
        <v>9216</v>
      </c>
      <c r="P17" s="7">
        <v>397</v>
      </c>
      <c r="Q17" s="46">
        <v>170</v>
      </c>
      <c r="R17" s="93">
        <v>0</v>
      </c>
      <c r="S17" s="58">
        <v>0</v>
      </c>
      <c r="T17" s="53">
        <v>0</v>
      </c>
      <c r="U17" s="93">
        <v>0</v>
      </c>
      <c r="V17" s="93">
        <v>5</v>
      </c>
      <c r="W17" s="93">
        <v>0</v>
      </c>
      <c r="X17" s="10">
        <v>0</v>
      </c>
      <c r="Y17" s="93">
        <v>1383</v>
      </c>
      <c r="Z17" s="52">
        <v>4667.1000000000004</v>
      </c>
      <c r="AA17" s="7">
        <v>3039.7</v>
      </c>
      <c r="AB17" s="47">
        <v>607.29999999999995</v>
      </c>
      <c r="AC17" s="103">
        <f t="shared" si="1"/>
        <v>54.006315999999998</v>
      </c>
      <c r="AD17" s="104">
        <f t="shared" si="0"/>
        <v>10.435700000000001</v>
      </c>
      <c r="AE17" s="105">
        <f t="shared" si="2"/>
        <v>63.4111653</v>
      </c>
      <c r="AF17" s="71">
        <f t="shared" si="3"/>
        <v>127.85318129999999</v>
      </c>
      <c r="AH17" s="101" t="s">
        <v>17</v>
      </c>
      <c r="AI17" s="121" t="s">
        <v>108</v>
      </c>
      <c r="AJ17" s="102" t="s">
        <v>110</v>
      </c>
      <c r="AT17" s="31"/>
    </row>
    <row r="18" spans="1:54" x14ac:dyDescent="0.25">
      <c r="A18" s="124" t="s">
        <v>11</v>
      </c>
      <c r="B18" s="46">
        <v>10176</v>
      </c>
      <c r="C18" s="3">
        <v>0</v>
      </c>
      <c r="D18" s="3">
        <v>0</v>
      </c>
      <c r="E18" s="3">
        <v>1797</v>
      </c>
      <c r="F18" s="7">
        <v>1784</v>
      </c>
      <c r="G18" s="131">
        <v>10080</v>
      </c>
      <c r="H18" s="52">
        <v>28608</v>
      </c>
      <c r="I18" s="7">
        <v>1573</v>
      </c>
      <c r="J18" s="10">
        <v>12864</v>
      </c>
      <c r="K18" s="10">
        <v>2304</v>
      </c>
      <c r="L18" s="51">
        <v>477</v>
      </c>
      <c r="M18" s="128">
        <v>1089</v>
      </c>
      <c r="N18" s="54">
        <v>0</v>
      </c>
      <c r="O18" s="93">
        <v>12864</v>
      </c>
      <c r="P18" s="7">
        <v>749</v>
      </c>
      <c r="Q18" s="46">
        <v>204</v>
      </c>
      <c r="R18" s="93">
        <v>0</v>
      </c>
      <c r="S18" s="58">
        <v>0</v>
      </c>
      <c r="T18" s="53">
        <v>0</v>
      </c>
      <c r="U18" s="93">
        <v>0</v>
      </c>
      <c r="V18" s="93">
        <v>11</v>
      </c>
      <c r="W18" s="93">
        <v>0</v>
      </c>
      <c r="X18" s="10">
        <v>192</v>
      </c>
      <c r="Y18" s="93">
        <v>1500</v>
      </c>
      <c r="Z18" s="52">
        <v>2958.4</v>
      </c>
      <c r="AA18" s="7">
        <v>577.5</v>
      </c>
      <c r="AB18" s="47">
        <v>0</v>
      </c>
      <c r="AC18" s="103">
        <f t="shared" si="1"/>
        <v>57.754122999999993</v>
      </c>
      <c r="AD18" s="104">
        <f t="shared" si="0"/>
        <v>24.289899999999999</v>
      </c>
      <c r="AE18" s="105">
        <f t="shared" si="2"/>
        <v>22.474287499999999</v>
      </c>
      <c r="AF18" s="71">
        <f t="shared" si="3"/>
        <v>104.5183105</v>
      </c>
      <c r="AH18" s="97" t="s">
        <v>104</v>
      </c>
      <c r="AI18" s="95">
        <v>337269</v>
      </c>
      <c r="AJ18" s="108" t="s">
        <v>18</v>
      </c>
      <c r="AT18" s="31"/>
    </row>
    <row r="19" spans="1:54" x14ac:dyDescent="0.25">
      <c r="A19" s="125" t="s">
        <v>14</v>
      </c>
      <c r="B19" s="88">
        <f t="shared" ref="B19:AE19" si="4">SUM(B7:B18)</f>
        <v>116352</v>
      </c>
      <c r="C19" s="89">
        <f t="shared" si="4"/>
        <v>8160</v>
      </c>
      <c r="D19" s="89">
        <f t="shared" si="4"/>
        <v>265</v>
      </c>
      <c r="E19" s="89">
        <f>SUM(E7:E18)</f>
        <v>19092</v>
      </c>
      <c r="F19" s="89">
        <f>SUM(F7:F18)</f>
        <v>9718</v>
      </c>
      <c r="G19" s="90">
        <f>SUM(G7:G18)</f>
        <v>113472</v>
      </c>
      <c r="H19" s="91">
        <f t="shared" si="4"/>
        <v>417408</v>
      </c>
      <c r="I19" s="89">
        <f>SUM(I7:I18)</f>
        <v>18523</v>
      </c>
      <c r="J19" s="89">
        <f t="shared" ref="J19:K19" si="5">SUM(J7:J18)</f>
        <v>132096</v>
      </c>
      <c r="K19" s="89">
        <f t="shared" si="5"/>
        <v>29088</v>
      </c>
      <c r="L19" s="90">
        <f>SUM(L7:L18)</f>
        <v>5392</v>
      </c>
      <c r="M19" s="91">
        <f>SUM(M7:M18)</f>
        <v>6111</v>
      </c>
      <c r="N19" s="90">
        <f t="shared" si="4"/>
        <v>0</v>
      </c>
      <c r="O19" s="88">
        <f>SUM(O7:O18)</f>
        <v>132096</v>
      </c>
      <c r="P19" s="89">
        <f>SUM(P7:P18)</f>
        <v>5273</v>
      </c>
      <c r="Q19" s="88">
        <f>SUM(Q7:Q18)</f>
        <v>7616</v>
      </c>
      <c r="R19" s="89">
        <f t="shared" ref="R19" si="6">SUM(R7:R18)</f>
        <v>0</v>
      </c>
      <c r="S19" s="90">
        <f>SUM(S7:S18)</f>
        <v>20352</v>
      </c>
      <c r="T19" s="88">
        <f t="shared" ref="T19:V19" si="7">SUM(T7:T18)</f>
        <v>0</v>
      </c>
      <c r="U19" s="89">
        <f t="shared" si="7"/>
        <v>0</v>
      </c>
      <c r="V19" s="89">
        <f t="shared" si="7"/>
        <v>16</v>
      </c>
      <c r="W19" s="89">
        <f>SUM(W7:W18)</f>
        <v>0</v>
      </c>
      <c r="X19" s="89">
        <f>SUM(X7:X18)</f>
        <v>2304</v>
      </c>
      <c r="Y19" s="89">
        <f t="shared" ref="Y19" si="8">SUM(Y7:Y18)</f>
        <v>13567</v>
      </c>
      <c r="Z19" s="88">
        <f>SUM(Z7:Z18)</f>
        <v>38932.97</v>
      </c>
      <c r="AA19" s="89">
        <f>SUM(AA7:AA18)</f>
        <v>7819</v>
      </c>
      <c r="AB19" s="90">
        <f>SUM(AB7:AB18)</f>
        <v>9030.2999999999993</v>
      </c>
      <c r="AC19" s="106">
        <f>SUM(AC7:AC18)</f>
        <v>719.72246499999983</v>
      </c>
      <c r="AD19" s="107">
        <f t="shared" si="4"/>
        <v>206.20179999999999</v>
      </c>
      <c r="AE19" s="107">
        <f t="shared" si="4"/>
        <v>389.93363699999998</v>
      </c>
      <c r="AF19" s="92">
        <f>SUM(AF7:AF18)</f>
        <v>1315.857902</v>
      </c>
      <c r="AH19" s="98" t="s">
        <v>105</v>
      </c>
      <c r="AI19" s="96">
        <v>48076</v>
      </c>
      <c r="AJ19" s="109" t="s">
        <v>18</v>
      </c>
      <c r="AT19" s="31"/>
    </row>
    <row r="20" spans="1:54" ht="15.75" thickBot="1" x14ac:dyDescent="0.3">
      <c r="A20" s="126" t="s">
        <v>41</v>
      </c>
      <c r="B20" s="48">
        <f t="shared" ref="B20:X20" si="9">7.07*10^-4</f>
        <v>7.0700000000000005E-4</v>
      </c>
      <c r="C20" s="4">
        <f t="shared" si="9"/>
        <v>7.0700000000000005E-4</v>
      </c>
      <c r="D20" s="4">
        <f t="shared" si="9"/>
        <v>7.0700000000000005E-4</v>
      </c>
      <c r="E20" s="4">
        <f t="shared" si="9"/>
        <v>7.0700000000000005E-4</v>
      </c>
      <c r="F20" s="5">
        <v>5.3E-3</v>
      </c>
      <c r="G20" s="59">
        <f>7.07*10^-4</f>
        <v>7.0700000000000005E-4</v>
      </c>
      <c r="H20" s="82">
        <f t="shared" si="9"/>
        <v>7.0700000000000005E-4</v>
      </c>
      <c r="I20" s="5">
        <v>5.3E-3</v>
      </c>
      <c r="J20" s="4">
        <f t="shared" si="9"/>
        <v>7.0700000000000005E-4</v>
      </c>
      <c r="K20" s="4">
        <f t="shared" si="9"/>
        <v>7.0700000000000005E-4</v>
      </c>
      <c r="L20" s="49">
        <v>5.3E-3</v>
      </c>
      <c r="M20" s="82">
        <f t="shared" ref="M20:Y20" si="10">7.07*10^-4</f>
        <v>7.0700000000000005E-4</v>
      </c>
      <c r="N20" s="49">
        <v>5.3E-3</v>
      </c>
      <c r="O20" s="48">
        <f>7.07*10^-4</f>
        <v>7.0700000000000005E-4</v>
      </c>
      <c r="P20" s="5">
        <v>5.3E-3</v>
      </c>
      <c r="Q20" s="48">
        <f t="shared" si="9"/>
        <v>7.0700000000000005E-4</v>
      </c>
      <c r="R20" s="4">
        <f t="shared" si="10"/>
        <v>7.0700000000000005E-4</v>
      </c>
      <c r="S20" s="59">
        <f t="shared" si="10"/>
        <v>7.0700000000000005E-4</v>
      </c>
      <c r="T20" s="48">
        <f t="shared" si="10"/>
        <v>7.0700000000000005E-4</v>
      </c>
      <c r="U20" s="4">
        <f t="shared" si="10"/>
        <v>7.0700000000000005E-4</v>
      </c>
      <c r="V20" s="4">
        <f t="shared" si="10"/>
        <v>7.0700000000000005E-4</v>
      </c>
      <c r="W20" s="4">
        <f t="shared" si="10"/>
        <v>7.0700000000000005E-4</v>
      </c>
      <c r="X20" s="4">
        <f t="shared" si="9"/>
        <v>7.0700000000000005E-4</v>
      </c>
      <c r="Y20" s="4">
        <f t="shared" si="10"/>
        <v>7.0700000000000005E-4</v>
      </c>
      <c r="Z20" s="63">
        <v>5.5999999999999999E-3</v>
      </c>
      <c r="AA20" s="5">
        <f>0.010229</f>
        <v>1.0229E-2</v>
      </c>
      <c r="AB20" s="64">
        <f>10.18*10^-3</f>
        <v>1.018E-2</v>
      </c>
      <c r="AC20" s="47">
        <v>1</v>
      </c>
      <c r="AD20" s="83">
        <v>1</v>
      </c>
      <c r="AE20" s="73">
        <v>1</v>
      </c>
      <c r="AF20" s="72">
        <v>1</v>
      </c>
      <c r="AH20" s="53" t="s">
        <v>106</v>
      </c>
      <c r="AI20" s="96">
        <v>101416</v>
      </c>
      <c r="AJ20" s="110" t="s">
        <v>18</v>
      </c>
      <c r="AT20" s="27"/>
    </row>
    <row r="21" spans="1:54" ht="16.899999999999999" customHeight="1" thickBot="1" x14ac:dyDescent="0.3">
      <c r="A21" s="127" t="s">
        <v>23</v>
      </c>
      <c r="B21" s="84">
        <f t="shared" ref="B21:C21" si="11">B19*B20</f>
        <v>82.260864000000012</v>
      </c>
      <c r="C21" s="85">
        <f t="shared" si="11"/>
        <v>5.76912</v>
      </c>
      <c r="D21" s="85">
        <f>D19*D20</f>
        <v>0.18735500000000002</v>
      </c>
      <c r="E21" s="85">
        <f>E19*E20</f>
        <v>13.498044000000002</v>
      </c>
      <c r="F21" s="85">
        <f>F19*F20</f>
        <v>51.505400000000002</v>
      </c>
      <c r="G21" s="86">
        <f>G19*G20</f>
        <v>80.224704000000003</v>
      </c>
      <c r="H21" s="87">
        <f t="shared" ref="H21" si="12">H19*H20</f>
        <v>295.10745600000001</v>
      </c>
      <c r="I21" s="85">
        <f>I19*I20</f>
        <v>98.171899999999994</v>
      </c>
      <c r="J21" s="85">
        <f t="shared" ref="J21:AE21" si="13">J19*J20</f>
        <v>93.391872000000006</v>
      </c>
      <c r="K21" s="85">
        <f t="shared" si="13"/>
        <v>20.565216000000003</v>
      </c>
      <c r="L21" s="86">
        <f t="shared" si="13"/>
        <v>28.5776</v>
      </c>
      <c r="M21" s="87">
        <f t="shared" si="13"/>
        <v>4.3204770000000003</v>
      </c>
      <c r="N21" s="86">
        <f t="shared" si="13"/>
        <v>0</v>
      </c>
      <c r="O21" s="84">
        <f t="shared" si="13"/>
        <v>93.391872000000006</v>
      </c>
      <c r="P21" s="85">
        <f t="shared" si="13"/>
        <v>27.946899999999999</v>
      </c>
      <c r="Q21" s="84">
        <f t="shared" si="13"/>
        <v>5.3845120000000009</v>
      </c>
      <c r="R21" s="85">
        <f t="shared" si="13"/>
        <v>0</v>
      </c>
      <c r="S21" s="86">
        <f t="shared" si="13"/>
        <v>14.388864000000002</v>
      </c>
      <c r="T21" s="84">
        <f t="shared" si="13"/>
        <v>0</v>
      </c>
      <c r="U21" s="85">
        <f t="shared" si="13"/>
        <v>0</v>
      </c>
      <c r="V21" s="85">
        <f t="shared" si="13"/>
        <v>1.1312000000000001E-2</v>
      </c>
      <c r="W21" s="85">
        <f t="shared" si="13"/>
        <v>0</v>
      </c>
      <c r="X21" s="85">
        <f t="shared" si="13"/>
        <v>1.6289280000000002</v>
      </c>
      <c r="Y21" s="85">
        <f t="shared" si="13"/>
        <v>9.5918690000000009</v>
      </c>
      <c r="Z21" s="84">
        <f t="shared" si="13"/>
        <v>218.024632</v>
      </c>
      <c r="AA21" s="85">
        <f t="shared" si="13"/>
        <v>79.980551000000006</v>
      </c>
      <c r="AB21" s="86">
        <f t="shared" si="13"/>
        <v>91.928453999999988</v>
      </c>
      <c r="AC21" s="84">
        <f t="shared" si="13"/>
        <v>719.72246499999983</v>
      </c>
      <c r="AD21" s="85">
        <f t="shared" si="13"/>
        <v>206.20179999999999</v>
      </c>
      <c r="AE21" s="85">
        <f t="shared" si="13"/>
        <v>389.93363699999998</v>
      </c>
      <c r="AF21" s="74">
        <f>SUM(AC21,AD21,AE21)</f>
        <v>1315.8579019999997</v>
      </c>
      <c r="AH21" s="99" t="s">
        <v>107</v>
      </c>
      <c r="AI21" s="100">
        <f>SUM(AI18:AI20)</f>
        <v>486761</v>
      </c>
      <c r="AJ21" s="114">
        <f>(AF21*2204.62/AI21)</f>
        <v>5.9597351634729145</v>
      </c>
      <c r="AT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94"/>
    </row>
    <row r="23" spans="1:54" x14ac:dyDescent="0.25">
      <c r="B23" s="12" t="s">
        <v>123</v>
      </c>
      <c r="F23" s="35" t="s">
        <v>22</v>
      </c>
      <c r="AY23" s="94"/>
    </row>
    <row r="24" spans="1:54" ht="15.6" customHeight="1" x14ac:dyDescent="0.25">
      <c r="B24" t="s">
        <v>124</v>
      </c>
      <c r="F24" s="75" t="s">
        <v>125</v>
      </c>
      <c r="H24" s="75"/>
      <c r="I24" s="75"/>
      <c r="Q24" s="12"/>
      <c r="AY24" s="94"/>
    </row>
    <row r="25" spans="1:54" x14ac:dyDescent="0.25">
      <c r="L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94"/>
    </row>
    <row r="26" spans="1:54" x14ac:dyDescent="0.25"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94"/>
      <c r="Q27" s="20"/>
      <c r="R27" s="20"/>
      <c r="S27" s="94"/>
      <c r="T27" s="94"/>
      <c r="U27" s="12"/>
      <c r="V27" s="12"/>
      <c r="W27" s="12"/>
      <c r="X27" s="12"/>
      <c r="Y27" s="12"/>
      <c r="Z27" s="12"/>
    </row>
    <row r="28" spans="1:54" x14ac:dyDescent="0.25">
      <c r="P28" s="94"/>
      <c r="Q28" s="20"/>
      <c r="R28" s="20"/>
      <c r="S28" s="94"/>
      <c r="T28" s="94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9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9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9">
    <mergeCell ref="AC1:AF1"/>
    <mergeCell ref="AJ1:AT1"/>
    <mergeCell ref="H1:L1"/>
    <mergeCell ref="T1:Y1"/>
    <mergeCell ref="B1:G1"/>
    <mergeCell ref="M1:N1"/>
    <mergeCell ref="O1:P1"/>
    <mergeCell ref="Q1:S1"/>
    <mergeCell ref="Z1:AB1"/>
  </mergeCells>
  <hyperlinks>
    <hyperlink ref="F24" r:id="rId1"/>
    <hyperlink ref="F23" r:id="rId2"/>
  </hyperlinks>
  <pageMargins left="0.7" right="0.7" top="0.75" bottom="0.75" header="0.3" footer="0.3"/>
  <pageSetup paperSize="17" orientation="landscape" r:id="rId3"/>
  <headerFooter>
    <oddHeader>&amp;L&amp;"-,Bold"&amp;14Duluth Seaway Port Authority&amp;C&amp;"-,Bold"&amp;14Green Marine Greenhouse Gas Emisions &amp;R&amp;"-,Bold"&amp;14 2015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WhiteSpace="0" zoomScaleNormal="100" workbookViewId="0">
      <pane xSplit="1" topLeftCell="Z1" activePane="topRight" state="frozen"/>
      <selection pane="topRight" activeCell="W8" sqref="W8"/>
    </sheetView>
  </sheetViews>
  <sheetFormatPr defaultRowHeight="15" x14ac:dyDescent="0.25"/>
  <cols>
    <col min="1" max="1" width="20.28515625" bestFit="1" customWidth="1"/>
    <col min="2" max="2" width="11.7109375" customWidth="1"/>
    <col min="3" max="3" width="15.28515625" bestFit="1" customWidth="1"/>
    <col min="4" max="4" width="12.7109375" customWidth="1"/>
    <col min="5" max="5" width="15.28515625" bestFit="1" customWidth="1"/>
    <col min="6" max="6" width="14.28515625" customWidth="1"/>
    <col min="7" max="7" width="14.85546875" customWidth="1"/>
    <col min="8" max="8" width="14.140625" customWidth="1"/>
    <col min="9" max="9" width="13.7109375" customWidth="1"/>
    <col min="10" max="10" width="14.28515625" customWidth="1"/>
    <col min="11" max="11" width="15.28515625" bestFit="1" customWidth="1"/>
    <col min="12" max="12" width="11.7109375" bestFit="1" customWidth="1"/>
    <col min="13" max="13" width="15.28515625" bestFit="1" customWidth="1"/>
    <col min="14" max="14" width="14.28515625" customWidth="1"/>
    <col min="15" max="15" width="14.4257812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8" width="13.85546875" customWidth="1"/>
    <col min="29" max="29" width="14.5703125" customWidth="1"/>
    <col min="30" max="30" width="15.85546875" customWidth="1"/>
    <col min="31" max="31" width="16.7109375" customWidth="1"/>
    <col min="32" max="32" width="15" bestFit="1" customWidth="1"/>
    <col min="33" max="33" width="15.7109375" customWidth="1"/>
    <col min="34" max="34" width="17.7109375" customWidth="1"/>
    <col min="35" max="35" width="15" bestFit="1" customWidth="1"/>
    <col min="36" max="36" width="15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3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80"/>
      <c r="H1" s="179" t="s">
        <v>126</v>
      </c>
      <c r="I1" s="179"/>
      <c r="J1" s="179"/>
      <c r="K1" s="179"/>
      <c r="L1" s="179"/>
      <c r="M1" s="180"/>
      <c r="N1" s="179" t="s">
        <v>47</v>
      </c>
      <c r="O1" s="179"/>
      <c r="P1" s="178" t="s">
        <v>90</v>
      </c>
      <c r="Q1" s="180"/>
      <c r="R1" s="178" t="s">
        <v>19</v>
      </c>
      <c r="S1" s="179"/>
      <c r="T1" s="180"/>
      <c r="U1" s="178" t="s">
        <v>92</v>
      </c>
      <c r="V1" s="179"/>
      <c r="W1" s="179"/>
      <c r="X1" s="179"/>
      <c r="Y1" s="179"/>
      <c r="Z1" s="179"/>
      <c r="AA1" s="179"/>
      <c r="AB1" s="180"/>
      <c r="AC1" s="178" t="s">
        <v>129</v>
      </c>
      <c r="AD1" s="179"/>
      <c r="AE1" s="180"/>
      <c r="AF1" s="178" t="s">
        <v>93</v>
      </c>
      <c r="AG1" s="179"/>
      <c r="AH1" s="179"/>
      <c r="AI1" s="180"/>
      <c r="AJ1" s="130"/>
      <c r="AK1" s="130"/>
      <c r="AL1" s="130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30"/>
      <c r="AY1" s="39"/>
      <c r="AZ1" s="12"/>
      <c r="BA1" s="12"/>
    </row>
    <row r="2" spans="1:53" ht="78" customHeight="1" x14ac:dyDescent="0.25">
      <c r="A2" s="155" t="s">
        <v>156</v>
      </c>
      <c r="B2" s="40" t="s">
        <v>121</v>
      </c>
      <c r="C2" s="24" t="s">
        <v>83</v>
      </c>
      <c r="D2" s="24" t="s">
        <v>82</v>
      </c>
      <c r="E2" s="24" t="s">
        <v>122</v>
      </c>
      <c r="F2" s="25" t="s">
        <v>122</v>
      </c>
      <c r="G2" s="56" t="s">
        <v>12</v>
      </c>
      <c r="H2" s="77" t="s">
        <v>13</v>
      </c>
      <c r="I2" s="25" t="s">
        <v>13</v>
      </c>
      <c r="J2" s="24" t="s">
        <v>20</v>
      </c>
      <c r="K2" s="24" t="s">
        <v>99</v>
      </c>
      <c r="L2" s="24" t="s">
        <v>21</v>
      </c>
      <c r="M2" s="41" t="s">
        <v>21</v>
      </c>
      <c r="N2" s="77" t="s">
        <v>47</v>
      </c>
      <c r="O2" s="41" t="s">
        <v>25</v>
      </c>
      <c r="P2" s="40" t="s">
        <v>90</v>
      </c>
      <c r="Q2" s="25" t="s">
        <v>90</v>
      </c>
      <c r="R2" s="40" t="s">
        <v>19</v>
      </c>
      <c r="S2" s="24" t="s">
        <v>84</v>
      </c>
      <c r="T2" s="56" t="s">
        <v>85</v>
      </c>
      <c r="U2" s="40" t="s">
        <v>86</v>
      </c>
      <c r="V2" s="24" t="s">
        <v>87</v>
      </c>
      <c r="W2" s="24" t="s">
        <v>94</v>
      </c>
      <c r="X2" s="24" t="s">
        <v>88</v>
      </c>
      <c r="Y2" s="24" t="s">
        <v>89</v>
      </c>
      <c r="Z2" s="24" t="s">
        <v>100</v>
      </c>
      <c r="AA2" s="24" t="s">
        <v>46</v>
      </c>
      <c r="AB2" s="56" t="s">
        <v>91</v>
      </c>
      <c r="AC2" s="133" t="s">
        <v>148</v>
      </c>
      <c r="AD2" s="37" t="s">
        <v>145</v>
      </c>
      <c r="AE2" s="60" t="s">
        <v>146</v>
      </c>
      <c r="AF2" s="40" t="s">
        <v>95</v>
      </c>
      <c r="AG2" s="25" t="s">
        <v>111</v>
      </c>
      <c r="AH2" s="37" t="s">
        <v>147</v>
      </c>
      <c r="AI2" s="65" t="s">
        <v>96</v>
      </c>
      <c r="AQ2" s="12"/>
      <c r="AR2" s="94"/>
      <c r="AT2" s="94"/>
      <c r="AW2" s="28"/>
    </row>
    <row r="3" spans="1:53" x14ac:dyDescent="0.25">
      <c r="A3" s="152" t="s">
        <v>155</v>
      </c>
      <c r="B3" s="42" t="s">
        <v>42</v>
      </c>
      <c r="C3" s="6" t="s">
        <v>42</v>
      </c>
      <c r="D3" s="6" t="s">
        <v>42</v>
      </c>
      <c r="E3" s="6" t="s">
        <v>42</v>
      </c>
      <c r="F3" s="6" t="s">
        <v>42</v>
      </c>
      <c r="G3" s="43" t="s">
        <v>42</v>
      </c>
      <c r="H3" s="78" t="s">
        <v>42</v>
      </c>
      <c r="I3" s="6" t="s">
        <v>42</v>
      </c>
      <c r="J3" s="6" t="s">
        <v>42</v>
      </c>
      <c r="K3" s="6" t="s">
        <v>42</v>
      </c>
      <c r="L3" s="6" t="s">
        <v>42</v>
      </c>
      <c r="M3" s="43" t="s">
        <v>42</v>
      </c>
      <c r="N3" s="78" t="s">
        <v>43</v>
      </c>
      <c r="O3" s="43" t="s">
        <v>42</v>
      </c>
      <c r="P3" s="42" t="s">
        <v>43</v>
      </c>
      <c r="Q3" s="6" t="s">
        <v>43</v>
      </c>
      <c r="R3" s="42" t="s">
        <v>42</v>
      </c>
      <c r="S3" s="6" t="s">
        <v>43</v>
      </c>
      <c r="T3" s="43" t="s">
        <v>43</v>
      </c>
      <c r="U3" s="42" t="s">
        <v>43</v>
      </c>
      <c r="V3" s="6" t="s">
        <v>43</v>
      </c>
      <c r="W3" s="6" t="s">
        <v>43</v>
      </c>
      <c r="X3" s="6" t="s">
        <v>43</v>
      </c>
      <c r="Y3" s="6" t="s">
        <v>43</v>
      </c>
      <c r="Z3" s="6" t="s">
        <v>42</v>
      </c>
      <c r="AA3" s="6" t="s">
        <v>43</v>
      </c>
      <c r="AB3" s="43" t="s">
        <v>43</v>
      </c>
      <c r="AC3" s="78" t="s">
        <v>42</v>
      </c>
      <c r="AD3" s="6" t="s">
        <v>42</v>
      </c>
      <c r="AE3" s="43" t="s">
        <v>42</v>
      </c>
      <c r="AF3" s="66" t="s">
        <v>97</v>
      </c>
      <c r="AG3" s="11" t="s">
        <v>97</v>
      </c>
      <c r="AH3" s="21" t="s">
        <v>97</v>
      </c>
      <c r="AI3" s="67" t="s">
        <v>97</v>
      </c>
      <c r="AN3" s="94"/>
      <c r="AP3" s="33"/>
      <c r="AQ3" s="33"/>
      <c r="AW3" s="28"/>
    </row>
    <row r="4" spans="1:53" ht="90" x14ac:dyDescent="0.25">
      <c r="A4" s="122" t="s">
        <v>119</v>
      </c>
      <c r="B4" s="44" t="s">
        <v>36</v>
      </c>
      <c r="C4" s="15" t="s">
        <v>78</v>
      </c>
      <c r="D4" s="15" t="s">
        <v>81</v>
      </c>
      <c r="E4" s="15" t="s">
        <v>76</v>
      </c>
      <c r="F4" s="15" t="s">
        <v>28</v>
      </c>
      <c r="G4" s="50" t="s">
        <v>35</v>
      </c>
      <c r="H4" s="79" t="s">
        <v>34</v>
      </c>
      <c r="I4" s="15" t="s">
        <v>32</v>
      </c>
      <c r="J4" s="16" t="s">
        <v>72</v>
      </c>
      <c r="K4" s="16" t="s">
        <v>68</v>
      </c>
      <c r="L4" s="15" t="s">
        <v>71</v>
      </c>
      <c r="M4" s="50" t="s">
        <v>29</v>
      </c>
      <c r="N4" s="111" t="s">
        <v>50</v>
      </c>
      <c r="O4" s="50" t="s">
        <v>27</v>
      </c>
      <c r="P4" s="112" t="s">
        <v>113</v>
      </c>
      <c r="Q4" s="15" t="s">
        <v>113</v>
      </c>
      <c r="R4" s="44" t="s">
        <v>24</v>
      </c>
      <c r="S4" s="15" t="s">
        <v>59</v>
      </c>
      <c r="T4" s="50" t="s">
        <v>58</v>
      </c>
      <c r="U4" s="44" t="s">
        <v>56</v>
      </c>
      <c r="V4" s="15" t="s">
        <v>52</v>
      </c>
      <c r="W4" s="15" t="s">
        <v>62</v>
      </c>
      <c r="X4" s="15" t="s">
        <v>65</v>
      </c>
      <c r="Y4" s="15" t="s">
        <v>64</v>
      </c>
      <c r="Z4" s="16" t="s">
        <v>74</v>
      </c>
      <c r="AA4" s="15" t="s">
        <v>51</v>
      </c>
      <c r="AB4" s="50" t="s">
        <v>57</v>
      </c>
      <c r="AC4" s="111" t="s">
        <v>142</v>
      </c>
      <c r="AD4" s="15" t="s">
        <v>143</v>
      </c>
      <c r="AE4" s="50" t="s">
        <v>144</v>
      </c>
      <c r="AF4" s="68" t="s">
        <v>45</v>
      </c>
      <c r="AG4" s="17" t="s">
        <v>40</v>
      </c>
      <c r="AH4" s="22" t="s">
        <v>116</v>
      </c>
      <c r="AI4" s="69" t="s">
        <v>18</v>
      </c>
      <c r="AN4" s="14"/>
      <c r="AP4" s="14"/>
      <c r="AQ4" s="14"/>
      <c r="AW4" s="29"/>
    </row>
    <row r="5" spans="1:53" ht="30" x14ac:dyDescent="0.25">
      <c r="A5" s="123" t="s">
        <v>152</v>
      </c>
      <c r="B5" s="44" t="s">
        <v>37</v>
      </c>
      <c r="C5" s="15" t="s">
        <v>80</v>
      </c>
      <c r="D5" s="15" t="s">
        <v>79</v>
      </c>
      <c r="E5" s="15" t="s">
        <v>77</v>
      </c>
      <c r="F5" s="15" t="s">
        <v>30</v>
      </c>
      <c r="G5" s="50" t="s">
        <v>101</v>
      </c>
      <c r="H5" s="79" t="s">
        <v>38</v>
      </c>
      <c r="I5" s="15" t="s">
        <v>33</v>
      </c>
      <c r="J5" s="16" t="s">
        <v>73</v>
      </c>
      <c r="K5" s="16" t="s">
        <v>70</v>
      </c>
      <c r="L5" s="15" t="s">
        <v>69</v>
      </c>
      <c r="M5" s="50" t="s">
        <v>31</v>
      </c>
      <c r="N5" s="111" t="s">
        <v>48</v>
      </c>
      <c r="O5" s="50" t="s">
        <v>39</v>
      </c>
      <c r="P5" s="44" t="s">
        <v>38</v>
      </c>
      <c r="Q5" s="15" t="s">
        <v>114</v>
      </c>
      <c r="R5" s="44" t="s">
        <v>26</v>
      </c>
      <c r="S5" s="15" t="s">
        <v>61</v>
      </c>
      <c r="T5" s="50" t="s">
        <v>60</v>
      </c>
      <c r="U5" s="44" t="s">
        <v>55</v>
      </c>
      <c r="V5" s="15" t="s">
        <v>53</v>
      </c>
      <c r="W5" s="15" t="s">
        <v>63</v>
      </c>
      <c r="X5" s="15" t="s">
        <v>67</v>
      </c>
      <c r="Y5" s="15" t="s">
        <v>66</v>
      </c>
      <c r="Z5" s="16" t="s">
        <v>75</v>
      </c>
      <c r="AA5" s="15" t="s">
        <v>49</v>
      </c>
      <c r="AB5" s="50" t="s">
        <v>54</v>
      </c>
      <c r="AC5" s="111" t="s">
        <v>151</v>
      </c>
      <c r="AD5" s="15" t="s">
        <v>150</v>
      </c>
      <c r="AE5" s="50" t="s">
        <v>149</v>
      </c>
      <c r="AF5" s="68" t="s">
        <v>18</v>
      </c>
      <c r="AG5" s="17" t="s">
        <v>18</v>
      </c>
      <c r="AH5" s="22" t="s">
        <v>18</v>
      </c>
      <c r="AI5" s="69" t="s">
        <v>18</v>
      </c>
      <c r="AN5" s="94"/>
      <c r="AP5" s="94"/>
      <c r="AQ5" s="94"/>
      <c r="AS5" s="94"/>
      <c r="AT5" s="94"/>
      <c r="AU5" s="94"/>
      <c r="AV5" s="94"/>
      <c r="AW5" s="29"/>
    </row>
    <row r="6" spans="1:53" x14ac:dyDescent="0.25">
      <c r="A6" s="156" t="s">
        <v>102</v>
      </c>
      <c r="B6" s="45" t="s">
        <v>15</v>
      </c>
      <c r="C6" s="1" t="s">
        <v>15</v>
      </c>
      <c r="D6" s="1" t="s">
        <v>15</v>
      </c>
      <c r="E6" s="1" t="s">
        <v>15</v>
      </c>
      <c r="F6" s="18" t="s">
        <v>103</v>
      </c>
      <c r="G6" s="57" t="s">
        <v>15</v>
      </c>
      <c r="H6" s="80" t="s">
        <v>15</v>
      </c>
      <c r="I6" s="18" t="s">
        <v>103</v>
      </c>
      <c r="J6" s="1" t="s">
        <v>15</v>
      </c>
      <c r="K6" s="1" t="s">
        <v>15</v>
      </c>
      <c r="L6" s="1" t="s">
        <v>15</v>
      </c>
      <c r="M6" s="129" t="s">
        <v>103</v>
      </c>
      <c r="N6" s="80" t="s">
        <v>15</v>
      </c>
      <c r="O6" s="76" t="s">
        <v>103</v>
      </c>
      <c r="P6" s="45" t="s">
        <v>15</v>
      </c>
      <c r="Q6" s="76" t="s">
        <v>103</v>
      </c>
      <c r="R6" s="45" t="s">
        <v>15</v>
      </c>
      <c r="S6" s="1" t="s">
        <v>15</v>
      </c>
      <c r="T6" s="57" t="s">
        <v>15</v>
      </c>
      <c r="U6" s="45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15</v>
      </c>
      <c r="AA6" s="1" t="s">
        <v>15</v>
      </c>
      <c r="AB6" s="57" t="s">
        <v>15</v>
      </c>
      <c r="AC6" s="23" t="s">
        <v>16</v>
      </c>
      <c r="AD6" s="23" t="s">
        <v>16</v>
      </c>
      <c r="AE6" s="55" t="s">
        <v>16</v>
      </c>
      <c r="AF6" s="45" t="s">
        <v>98</v>
      </c>
      <c r="AG6" s="18" t="s">
        <v>98</v>
      </c>
      <c r="AH6" s="23" t="s">
        <v>98</v>
      </c>
      <c r="AI6" s="70" t="s">
        <v>98</v>
      </c>
      <c r="AN6" s="34"/>
      <c r="AQ6" s="94"/>
      <c r="AR6" s="94"/>
      <c r="AS6" s="94"/>
      <c r="AT6" s="94"/>
      <c r="AU6" s="94"/>
      <c r="AV6" s="94"/>
      <c r="AW6" s="30"/>
    </row>
    <row r="7" spans="1:53" x14ac:dyDescent="0.25">
      <c r="A7" s="124" t="s">
        <v>0</v>
      </c>
      <c r="B7" s="46">
        <v>9984</v>
      </c>
      <c r="C7" s="3">
        <v>480</v>
      </c>
      <c r="D7" s="3">
        <v>0</v>
      </c>
      <c r="E7" s="3">
        <v>1738</v>
      </c>
      <c r="F7" s="7">
        <v>1068</v>
      </c>
      <c r="G7" s="54">
        <v>10656</v>
      </c>
      <c r="H7" s="81">
        <v>31680</v>
      </c>
      <c r="I7" s="7">
        <v>2274</v>
      </c>
      <c r="J7" s="10">
        <v>13824</v>
      </c>
      <c r="K7" s="10">
        <v>2592</v>
      </c>
      <c r="L7" s="3">
        <v>0</v>
      </c>
      <c r="M7" s="51">
        <v>71</v>
      </c>
      <c r="N7" s="128">
        <v>1163</v>
      </c>
      <c r="O7" s="54">
        <v>0</v>
      </c>
      <c r="P7" s="93">
        <v>10944</v>
      </c>
      <c r="Q7" s="7">
        <v>410</v>
      </c>
      <c r="R7" s="46">
        <v>350</v>
      </c>
      <c r="S7" s="93">
        <v>0</v>
      </c>
      <c r="T7" s="58">
        <v>0</v>
      </c>
      <c r="U7" s="53">
        <v>0</v>
      </c>
      <c r="V7" s="93">
        <v>0</v>
      </c>
      <c r="W7" s="93">
        <v>2628</v>
      </c>
      <c r="X7" s="93">
        <v>12</v>
      </c>
      <c r="Y7" s="93">
        <v>0</v>
      </c>
      <c r="Z7" s="10">
        <v>192</v>
      </c>
      <c r="AA7" s="93">
        <v>1666</v>
      </c>
      <c r="AB7" s="58">
        <v>22</v>
      </c>
      <c r="AC7" s="52">
        <v>3453.7</v>
      </c>
      <c r="AD7" s="7">
        <v>1206.0999999999999</v>
      </c>
      <c r="AE7" s="61">
        <v>0</v>
      </c>
      <c r="AF7" s="103">
        <f>SUM(G7,B7,E7,C7,D7,H7,J7,K7,L7,N7,P7,R7,S7,T7,U7,V7,W7,X7,Y7,Z7,AA7,AB7)*0.000707</f>
        <v>62.167216999999994</v>
      </c>
      <c r="AG7" s="104">
        <f t="shared" ref="AG7:AG18" si="0">SUM(F7,I7,M7,O7,Q7)*0.0053</f>
        <v>20.261900000000001</v>
      </c>
      <c r="AH7" s="105">
        <f>SUM(AC7*AC$20,AD7*AD$20,AE7*AE$20)</f>
        <v>31.677916899999996</v>
      </c>
      <c r="AI7" s="71">
        <f>SUM(AF7,AG7,AH7)</f>
        <v>114.10703389999999</v>
      </c>
      <c r="AN7" s="12"/>
      <c r="AQ7" s="12"/>
      <c r="AR7" s="12"/>
      <c r="AS7" s="12"/>
      <c r="AT7" s="12"/>
      <c r="AU7" s="12"/>
      <c r="AV7" s="12"/>
      <c r="AW7" s="31"/>
    </row>
    <row r="8" spans="1:53" ht="14.45" customHeight="1" x14ac:dyDescent="0.25">
      <c r="A8" s="124" t="s">
        <v>1</v>
      </c>
      <c r="B8" s="46">
        <v>10752</v>
      </c>
      <c r="C8" s="3">
        <v>0</v>
      </c>
      <c r="D8" s="3">
        <v>0</v>
      </c>
      <c r="E8" s="3">
        <v>1789</v>
      </c>
      <c r="F8" s="7">
        <v>1901</v>
      </c>
      <c r="G8" s="54">
        <v>12096</v>
      </c>
      <c r="H8" s="81">
        <v>30720</v>
      </c>
      <c r="I8" s="7">
        <v>2305</v>
      </c>
      <c r="J8" s="10">
        <v>15360</v>
      </c>
      <c r="K8" s="10">
        <v>2304</v>
      </c>
      <c r="L8" s="3">
        <v>0</v>
      </c>
      <c r="M8" s="51">
        <v>1640</v>
      </c>
      <c r="N8" s="128">
        <v>1447</v>
      </c>
      <c r="O8" s="54">
        <v>0</v>
      </c>
      <c r="P8" s="93">
        <v>12864</v>
      </c>
      <c r="Q8" s="7">
        <v>635</v>
      </c>
      <c r="R8" s="46">
        <v>613</v>
      </c>
      <c r="S8" s="93">
        <v>0</v>
      </c>
      <c r="T8" s="58">
        <v>0</v>
      </c>
      <c r="U8" s="53">
        <v>0</v>
      </c>
      <c r="V8" s="93">
        <v>0</v>
      </c>
      <c r="W8" s="93">
        <v>3454</v>
      </c>
      <c r="X8" s="93">
        <v>12</v>
      </c>
      <c r="Y8" s="93">
        <v>0</v>
      </c>
      <c r="Z8" s="10">
        <v>192</v>
      </c>
      <c r="AA8" s="93">
        <v>1537</v>
      </c>
      <c r="AB8" s="58">
        <v>35</v>
      </c>
      <c r="AC8" s="52">
        <v>3724.5</v>
      </c>
      <c r="AD8" s="7">
        <v>1718.6</v>
      </c>
      <c r="AE8" s="61">
        <v>0</v>
      </c>
      <c r="AF8" s="103">
        <f t="shared" ref="AF8:AF18" si="1">SUM(G8,B8,E8,C8,D8,H8,J8,K8,L8,N8,P8,R8,S8,T8,U8,V8,W8,X8,Y8,Z8,AA8,AB8)*0.000707</f>
        <v>65.874724999999998</v>
      </c>
      <c r="AG8" s="104">
        <f t="shared" si="0"/>
        <v>34.349299999999999</v>
      </c>
      <c r="AH8" s="105">
        <f t="shared" ref="AH8:AH18" si="2">SUM(AC8*AC$20,AD8*AD$20,AE8*AE$20)</f>
        <v>38.4367594</v>
      </c>
      <c r="AI8" s="71">
        <f t="shared" ref="AI8:AI18" si="3">SUM(AF8,AG8,AH8)</f>
        <v>138.66078440000001</v>
      </c>
      <c r="AW8" s="31"/>
    </row>
    <row r="9" spans="1:53" x14ac:dyDescent="0.25">
      <c r="A9" s="124" t="s">
        <v>2</v>
      </c>
      <c r="B9" s="46">
        <v>9600</v>
      </c>
      <c r="C9" s="3">
        <v>0</v>
      </c>
      <c r="D9" s="3">
        <v>0</v>
      </c>
      <c r="E9" s="3">
        <v>1731</v>
      </c>
      <c r="F9" s="7">
        <v>1563</v>
      </c>
      <c r="G9" s="54">
        <v>12384</v>
      </c>
      <c r="H9" s="81">
        <v>31872</v>
      </c>
      <c r="I9" s="7">
        <v>2016</v>
      </c>
      <c r="J9" s="10">
        <v>13440</v>
      </c>
      <c r="K9" s="10">
        <v>2304</v>
      </c>
      <c r="L9" s="3">
        <v>0</v>
      </c>
      <c r="M9" s="51">
        <v>1635</v>
      </c>
      <c r="N9" s="128">
        <v>1332</v>
      </c>
      <c r="O9" s="54">
        <v>0</v>
      </c>
      <c r="P9" s="93">
        <v>12096</v>
      </c>
      <c r="Q9" s="7">
        <v>788</v>
      </c>
      <c r="R9" s="46">
        <v>435</v>
      </c>
      <c r="S9" s="93">
        <v>0</v>
      </c>
      <c r="T9" s="58">
        <v>0</v>
      </c>
      <c r="U9" s="53">
        <v>0</v>
      </c>
      <c r="V9" s="93">
        <v>0</v>
      </c>
      <c r="W9" s="93">
        <v>2785</v>
      </c>
      <c r="X9" s="93">
        <v>10</v>
      </c>
      <c r="Y9" s="93">
        <v>0</v>
      </c>
      <c r="Z9" s="10">
        <v>192</v>
      </c>
      <c r="AA9" s="93">
        <v>1213</v>
      </c>
      <c r="AB9" s="58">
        <v>32</v>
      </c>
      <c r="AC9" s="52">
        <v>4236.5</v>
      </c>
      <c r="AD9" s="7">
        <v>1100.7</v>
      </c>
      <c r="AE9" s="61">
        <v>727.1</v>
      </c>
      <c r="AF9" s="103">
        <f t="shared" si="1"/>
        <v>63.224181999999992</v>
      </c>
      <c r="AG9" s="104">
        <f t="shared" si="0"/>
        <v>31.810600000000001</v>
      </c>
      <c r="AH9" s="105">
        <f t="shared" si="2"/>
        <v>42.385338300000001</v>
      </c>
      <c r="AI9" s="71">
        <f t="shared" si="3"/>
        <v>137.42012030000001</v>
      </c>
      <c r="AW9" s="31"/>
    </row>
    <row r="10" spans="1:53" x14ac:dyDescent="0.25">
      <c r="A10" s="124" t="s">
        <v>3</v>
      </c>
      <c r="B10" s="46">
        <v>9216</v>
      </c>
      <c r="C10" s="3">
        <v>480</v>
      </c>
      <c r="D10" s="3">
        <v>0</v>
      </c>
      <c r="E10" s="3">
        <v>1654</v>
      </c>
      <c r="F10" s="7">
        <v>626</v>
      </c>
      <c r="G10" s="54">
        <v>11520</v>
      </c>
      <c r="H10" s="81">
        <v>32064</v>
      </c>
      <c r="I10" s="7">
        <v>2041</v>
      </c>
      <c r="J10" s="10">
        <v>12480</v>
      </c>
      <c r="K10" s="10">
        <v>2304</v>
      </c>
      <c r="L10" s="3">
        <v>0</v>
      </c>
      <c r="M10" s="51">
        <v>1460</v>
      </c>
      <c r="N10" s="128">
        <v>1259</v>
      </c>
      <c r="O10" s="54">
        <v>0</v>
      </c>
      <c r="P10" s="93">
        <v>0</v>
      </c>
      <c r="Q10" s="7">
        <v>821</v>
      </c>
      <c r="R10" s="46">
        <v>231</v>
      </c>
      <c r="S10" s="93">
        <v>0</v>
      </c>
      <c r="T10" s="58">
        <v>0</v>
      </c>
      <c r="U10" s="53">
        <v>0</v>
      </c>
      <c r="V10" s="93">
        <v>0</v>
      </c>
      <c r="W10" s="93">
        <v>2678</v>
      </c>
      <c r="X10" s="93">
        <v>14</v>
      </c>
      <c r="Y10" s="93">
        <v>0</v>
      </c>
      <c r="Z10" s="10">
        <v>192</v>
      </c>
      <c r="AA10" s="93">
        <v>1010</v>
      </c>
      <c r="AB10" s="58">
        <v>35</v>
      </c>
      <c r="AC10" s="52">
        <v>3275.7</v>
      </c>
      <c r="AD10" s="7">
        <v>0</v>
      </c>
      <c r="AE10" s="61">
        <v>1034.8</v>
      </c>
      <c r="AF10" s="103">
        <f t="shared" si="1"/>
        <v>53.121858999999994</v>
      </c>
      <c r="AG10" s="104">
        <f t="shared" si="0"/>
        <v>26.224399999999999</v>
      </c>
      <c r="AH10" s="105">
        <f t="shared" si="2"/>
        <v>28.878183999999997</v>
      </c>
      <c r="AI10" s="71">
        <f t="shared" si="3"/>
        <v>108.22444299999998</v>
      </c>
      <c r="AL10" s="12"/>
      <c r="AM10" s="12"/>
      <c r="AW10" s="31"/>
    </row>
    <row r="11" spans="1:53" x14ac:dyDescent="0.25">
      <c r="A11" s="124" t="s">
        <v>4</v>
      </c>
      <c r="B11" s="46">
        <v>0</v>
      </c>
      <c r="C11" s="3">
        <v>0</v>
      </c>
      <c r="D11" s="3">
        <v>0</v>
      </c>
      <c r="E11" s="3">
        <v>0</v>
      </c>
      <c r="F11" s="7">
        <v>491</v>
      </c>
      <c r="G11" s="54">
        <v>0</v>
      </c>
      <c r="H11" s="81">
        <v>0</v>
      </c>
      <c r="I11" s="7">
        <v>1665</v>
      </c>
      <c r="J11" s="10">
        <v>0</v>
      </c>
      <c r="K11" s="10">
        <v>0</v>
      </c>
      <c r="L11" s="3">
        <v>0</v>
      </c>
      <c r="M11" s="51">
        <v>1333</v>
      </c>
      <c r="N11" s="128">
        <v>1052</v>
      </c>
      <c r="O11" s="54">
        <v>0</v>
      </c>
      <c r="P11" s="93">
        <v>10560</v>
      </c>
      <c r="Q11" s="7">
        <v>463</v>
      </c>
      <c r="R11" s="46">
        <v>0</v>
      </c>
      <c r="S11" s="93">
        <v>35136</v>
      </c>
      <c r="T11" s="58">
        <v>0</v>
      </c>
      <c r="U11" s="53">
        <v>0</v>
      </c>
      <c r="V11" s="93">
        <v>0</v>
      </c>
      <c r="W11" s="93">
        <v>2277</v>
      </c>
      <c r="X11" s="93">
        <v>42</v>
      </c>
      <c r="Y11" s="93">
        <v>0</v>
      </c>
      <c r="Z11" s="10">
        <v>0</v>
      </c>
      <c r="AA11" s="93">
        <v>982</v>
      </c>
      <c r="AB11" s="58">
        <v>35</v>
      </c>
      <c r="AC11" s="52">
        <v>3859.2</v>
      </c>
      <c r="AD11" s="7">
        <v>0</v>
      </c>
      <c r="AE11" s="61">
        <v>944.5</v>
      </c>
      <c r="AF11" s="103">
        <f t="shared" si="1"/>
        <v>35.409388</v>
      </c>
      <c r="AG11" s="104">
        <f t="shared" si="0"/>
        <v>20.945599999999999</v>
      </c>
      <c r="AH11" s="105">
        <f t="shared" si="2"/>
        <v>31.226529999999997</v>
      </c>
      <c r="AI11" s="71">
        <f t="shared" si="3"/>
        <v>87.581517999999988</v>
      </c>
      <c r="AW11" s="31"/>
    </row>
    <row r="12" spans="1:53" x14ac:dyDescent="0.25">
      <c r="A12" s="124" t="s">
        <v>5</v>
      </c>
      <c r="B12" s="46">
        <v>8448</v>
      </c>
      <c r="C12" s="3">
        <v>960</v>
      </c>
      <c r="D12" s="3">
        <v>0</v>
      </c>
      <c r="E12" s="3">
        <v>1700</v>
      </c>
      <c r="F12" s="7">
        <v>387</v>
      </c>
      <c r="G12" s="54">
        <v>9792</v>
      </c>
      <c r="H12" s="81">
        <v>31104</v>
      </c>
      <c r="I12" s="7">
        <v>1323</v>
      </c>
      <c r="J12" s="10">
        <v>10176</v>
      </c>
      <c r="K12" s="10">
        <v>2304</v>
      </c>
      <c r="L12" s="3">
        <v>2763</v>
      </c>
      <c r="M12" s="51">
        <v>2232</v>
      </c>
      <c r="N12" s="128">
        <v>791</v>
      </c>
      <c r="O12" s="54">
        <v>0</v>
      </c>
      <c r="P12" s="93">
        <v>10368</v>
      </c>
      <c r="Q12" s="7">
        <v>286</v>
      </c>
      <c r="R12" s="46">
        <v>1103</v>
      </c>
      <c r="S12" s="93">
        <v>0</v>
      </c>
      <c r="T12" s="58">
        <v>0</v>
      </c>
      <c r="U12" s="53">
        <v>0</v>
      </c>
      <c r="V12" s="93">
        <v>0</v>
      </c>
      <c r="W12" s="93">
        <v>2004</v>
      </c>
      <c r="X12" s="93">
        <v>20</v>
      </c>
      <c r="Y12" s="93">
        <v>0</v>
      </c>
      <c r="Z12" s="10">
        <v>192</v>
      </c>
      <c r="AA12" s="93">
        <v>882</v>
      </c>
      <c r="AB12" s="58">
        <v>35</v>
      </c>
      <c r="AC12" s="52">
        <v>2917.8</v>
      </c>
      <c r="AD12" s="7">
        <v>0</v>
      </c>
      <c r="AE12" s="47">
        <v>1259</v>
      </c>
      <c r="AF12" s="103">
        <f t="shared" si="1"/>
        <v>58.427893999999995</v>
      </c>
      <c r="AG12" s="104">
        <f t="shared" si="0"/>
        <v>22.4084</v>
      </c>
      <c r="AH12" s="105">
        <f t="shared" si="2"/>
        <v>29.156300000000002</v>
      </c>
      <c r="AI12" s="71">
        <f t="shared" si="3"/>
        <v>109.992594</v>
      </c>
      <c r="AW12" s="31"/>
    </row>
    <row r="13" spans="1:53" x14ac:dyDescent="0.25">
      <c r="A13" s="124" t="s">
        <v>6</v>
      </c>
      <c r="B13" s="46">
        <v>8448</v>
      </c>
      <c r="C13" s="3">
        <v>480</v>
      </c>
      <c r="D13" s="3">
        <v>0</v>
      </c>
      <c r="E13" s="3">
        <v>1762</v>
      </c>
      <c r="F13" s="7">
        <v>0</v>
      </c>
      <c r="G13" s="54">
        <v>8064</v>
      </c>
      <c r="H13" s="81">
        <v>29184</v>
      </c>
      <c r="I13" s="7">
        <v>1003</v>
      </c>
      <c r="J13" s="10">
        <v>9408</v>
      </c>
      <c r="K13" s="10">
        <v>2016</v>
      </c>
      <c r="L13" s="3">
        <v>2642</v>
      </c>
      <c r="M13" s="51">
        <v>0</v>
      </c>
      <c r="N13" s="128">
        <v>424</v>
      </c>
      <c r="O13" s="54">
        <v>0</v>
      </c>
      <c r="P13" s="93">
        <v>8064</v>
      </c>
      <c r="Q13" s="7">
        <v>18</v>
      </c>
      <c r="R13" s="46">
        <v>216</v>
      </c>
      <c r="S13" s="93">
        <v>0</v>
      </c>
      <c r="T13" s="58">
        <v>0</v>
      </c>
      <c r="U13" s="53">
        <v>0</v>
      </c>
      <c r="V13" s="93">
        <v>0</v>
      </c>
      <c r="W13" s="93">
        <v>1821</v>
      </c>
      <c r="X13" s="93">
        <v>15</v>
      </c>
      <c r="Y13" s="93">
        <v>0</v>
      </c>
      <c r="Z13" s="10">
        <v>192</v>
      </c>
      <c r="AA13" s="93">
        <v>810</v>
      </c>
      <c r="AB13" s="58">
        <v>34</v>
      </c>
      <c r="AC13" s="52">
        <v>2880.6</v>
      </c>
      <c r="AD13" s="7">
        <v>0</v>
      </c>
      <c r="AE13" s="62">
        <v>3232.9</v>
      </c>
      <c r="AF13" s="103">
        <f t="shared" si="1"/>
        <v>52.021059999999999</v>
      </c>
      <c r="AG13" s="104">
        <f t="shared" si="0"/>
        <v>5.4112999999999998</v>
      </c>
      <c r="AH13" s="105">
        <f t="shared" si="2"/>
        <v>49.042282</v>
      </c>
      <c r="AI13" s="71">
        <f t="shared" si="3"/>
        <v>106.47464199999999</v>
      </c>
      <c r="AW13" s="31"/>
    </row>
    <row r="14" spans="1:53" x14ac:dyDescent="0.25">
      <c r="A14" s="124" t="s">
        <v>7</v>
      </c>
      <c r="B14" s="46">
        <v>8640</v>
      </c>
      <c r="C14" s="3">
        <v>960</v>
      </c>
      <c r="D14" s="3">
        <v>0</v>
      </c>
      <c r="E14" s="3">
        <v>1935</v>
      </c>
      <c r="F14" s="7">
        <v>0</v>
      </c>
      <c r="G14" s="54">
        <v>7200</v>
      </c>
      <c r="H14" s="81">
        <v>25152</v>
      </c>
      <c r="I14" s="7">
        <v>802</v>
      </c>
      <c r="J14" s="10">
        <v>8448</v>
      </c>
      <c r="K14" s="10">
        <v>2016</v>
      </c>
      <c r="L14" s="3">
        <v>1873</v>
      </c>
      <c r="M14" s="51">
        <v>0</v>
      </c>
      <c r="N14" s="128">
        <v>246</v>
      </c>
      <c r="O14" s="54">
        <v>0</v>
      </c>
      <c r="P14" s="93">
        <v>6912</v>
      </c>
      <c r="Q14" s="7">
        <v>4</v>
      </c>
      <c r="R14" s="46">
        <v>212</v>
      </c>
      <c r="S14" s="93">
        <v>0</v>
      </c>
      <c r="T14" s="58">
        <v>0</v>
      </c>
      <c r="U14" s="53">
        <v>0</v>
      </c>
      <c r="V14" s="93">
        <v>0</v>
      </c>
      <c r="W14" s="93">
        <v>1983</v>
      </c>
      <c r="X14" s="93">
        <v>14</v>
      </c>
      <c r="Y14" s="93">
        <v>0</v>
      </c>
      <c r="Z14" s="10">
        <v>192</v>
      </c>
      <c r="AA14" s="93">
        <v>918</v>
      </c>
      <c r="AB14" s="58">
        <v>37</v>
      </c>
      <c r="AC14" s="52">
        <v>2247.1</v>
      </c>
      <c r="AD14" s="7">
        <v>0</v>
      </c>
      <c r="AE14" s="47">
        <v>2286.8000000000002</v>
      </c>
      <c r="AF14" s="103">
        <f t="shared" si="1"/>
        <v>47.183765999999999</v>
      </c>
      <c r="AG14" s="104">
        <f t="shared" si="0"/>
        <v>4.2717999999999998</v>
      </c>
      <c r="AH14" s="105">
        <f t="shared" si="2"/>
        <v>35.863384000000003</v>
      </c>
      <c r="AI14" s="71">
        <f t="shared" si="3"/>
        <v>87.318950000000001</v>
      </c>
      <c r="AW14" s="31"/>
    </row>
    <row r="15" spans="1:53" x14ac:dyDescent="0.25">
      <c r="A15" s="124" t="s">
        <v>8</v>
      </c>
      <c r="B15" s="46">
        <v>11712</v>
      </c>
      <c r="C15" s="3">
        <v>1440</v>
      </c>
      <c r="D15" s="3">
        <v>181</v>
      </c>
      <c r="E15" s="3">
        <v>2554</v>
      </c>
      <c r="F15" s="7">
        <v>0</v>
      </c>
      <c r="G15" s="54">
        <v>6912</v>
      </c>
      <c r="H15" s="81">
        <v>30336</v>
      </c>
      <c r="I15" s="7">
        <v>941</v>
      </c>
      <c r="J15" s="10">
        <v>8640</v>
      </c>
      <c r="K15" s="10">
        <v>2016</v>
      </c>
      <c r="L15" s="3">
        <v>1732</v>
      </c>
      <c r="M15" s="51">
        <v>0</v>
      </c>
      <c r="N15" s="128">
        <v>295</v>
      </c>
      <c r="O15" s="54">
        <v>0</v>
      </c>
      <c r="P15" s="93">
        <v>6912</v>
      </c>
      <c r="Q15" s="7">
        <v>4</v>
      </c>
      <c r="R15" s="46">
        <v>146</v>
      </c>
      <c r="S15" s="93">
        <v>0</v>
      </c>
      <c r="T15" s="58">
        <v>0</v>
      </c>
      <c r="U15" s="53">
        <v>0</v>
      </c>
      <c r="V15" s="93">
        <v>0</v>
      </c>
      <c r="W15" s="93">
        <v>2361</v>
      </c>
      <c r="X15" s="93">
        <v>15</v>
      </c>
      <c r="Y15" s="93">
        <v>0</v>
      </c>
      <c r="Z15" s="10">
        <v>192</v>
      </c>
      <c r="AA15" s="93">
        <v>858</v>
      </c>
      <c r="AB15" s="58">
        <v>33</v>
      </c>
      <c r="AC15" s="52">
        <v>3602.31</v>
      </c>
      <c r="AD15" s="7">
        <v>0</v>
      </c>
      <c r="AE15" s="47">
        <v>2041.4</v>
      </c>
      <c r="AF15" s="103">
        <f t="shared" si="1"/>
        <v>53.968844999999995</v>
      </c>
      <c r="AG15" s="104">
        <f t="shared" si="0"/>
        <v>5.0084999999999997</v>
      </c>
      <c r="AH15" s="105">
        <f t="shared" si="2"/>
        <v>40.954388000000002</v>
      </c>
      <c r="AI15" s="71">
        <f t="shared" si="3"/>
        <v>99.931732999999994</v>
      </c>
      <c r="AW15" s="31"/>
    </row>
    <row r="16" spans="1:53" ht="15.75" thickBot="1" x14ac:dyDescent="0.3">
      <c r="A16" s="124" t="s">
        <v>9</v>
      </c>
      <c r="B16" s="46">
        <v>9216</v>
      </c>
      <c r="C16" s="3">
        <v>960</v>
      </c>
      <c r="D16" s="3">
        <v>0</v>
      </c>
      <c r="E16" s="3">
        <v>2198</v>
      </c>
      <c r="F16" s="7">
        <v>7</v>
      </c>
      <c r="G16" s="54">
        <v>6624</v>
      </c>
      <c r="H16" s="81">
        <v>24576</v>
      </c>
      <c r="I16" s="7">
        <v>761</v>
      </c>
      <c r="J16" s="10">
        <v>8640</v>
      </c>
      <c r="K16" s="10">
        <v>1728</v>
      </c>
      <c r="L16" s="3">
        <v>1887</v>
      </c>
      <c r="M16" s="51">
        <v>0</v>
      </c>
      <c r="N16" s="128">
        <v>477</v>
      </c>
      <c r="O16" s="54">
        <v>0</v>
      </c>
      <c r="P16" s="93">
        <v>8064</v>
      </c>
      <c r="Q16" s="7">
        <v>3</v>
      </c>
      <c r="R16" s="46">
        <v>190</v>
      </c>
      <c r="S16" s="93">
        <v>0</v>
      </c>
      <c r="T16" s="58">
        <v>0</v>
      </c>
      <c r="U16" s="53">
        <v>0</v>
      </c>
      <c r="V16" s="93">
        <v>0</v>
      </c>
      <c r="W16" s="93">
        <v>2462</v>
      </c>
      <c r="X16" s="93">
        <v>14</v>
      </c>
      <c r="Y16" s="93">
        <v>0</v>
      </c>
      <c r="Z16" s="10">
        <v>192</v>
      </c>
      <c r="AA16" s="93">
        <v>1199</v>
      </c>
      <c r="AB16" s="58">
        <v>35</v>
      </c>
      <c r="AC16" s="52">
        <v>2698.2</v>
      </c>
      <c r="AD16" s="7">
        <v>0</v>
      </c>
      <c r="AE16" s="47">
        <v>2207.3000000000002</v>
      </c>
      <c r="AF16" s="103">
        <f t="shared" si="1"/>
        <v>48.402633999999999</v>
      </c>
      <c r="AG16" s="104">
        <f t="shared" si="0"/>
        <v>4.0862999999999996</v>
      </c>
      <c r="AH16" s="105">
        <f t="shared" si="2"/>
        <v>37.580234000000004</v>
      </c>
      <c r="AI16" s="71">
        <f t="shared" si="3"/>
        <v>90.069168000000005</v>
      </c>
      <c r="AK16" s="36" t="s">
        <v>109</v>
      </c>
      <c r="AL16" s="36"/>
      <c r="AM16" s="94"/>
      <c r="AW16" s="31"/>
    </row>
    <row r="17" spans="1:54" ht="15.75" thickBot="1" x14ac:dyDescent="0.3">
      <c r="A17" s="124" t="s">
        <v>10</v>
      </c>
      <c r="B17" s="46">
        <v>8064</v>
      </c>
      <c r="C17" s="3">
        <v>2880</v>
      </c>
      <c r="D17" s="3">
        <v>0</v>
      </c>
      <c r="E17" s="3">
        <v>2645</v>
      </c>
      <c r="F17" s="7">
        <v>510</v>
      </c>
      <c r="G17" s="54">
        <v>7488</v>
      </c>
      <c r="H17" s="81">
        <v>25344</v>
      </c>
      <c r="I17" s="7">
        <v>1111</v>
      </c>
      <c r="J17" s="10">
        <v>9408</v>
      </c>
      <c r="K17" s="10">
        <v>2016</v>
      </c>
      <c r="L17" s="3">
        <v>1843</v>
      </c>
      <c r="M17" s="51">
        <v>47</v>
      </c>
      <c r="N17" s="128">
        <v>793</v>
      </c>
      <c r="O17" s="54">
        <v>0</v>
      </c>
      <c r="P17" s="93">
        <v>8064</v>
      </c>
      <c r="Q17" s="7">
        <v>155</v>
      </c>
      <c r="R17" s="46">
        <v>192</v>
      </c>
      <c r="S17" s="93">
        <v>0</v>
      </c>
      <c r="T17" s="58">
        <v>0</v>
      </c>
      <c r="U17" s="53">
        <v>0</v>
      </c>
      <c r="V17" s="93">
        <v>0</v>
      </c>
      <c r="W17" s="93">
        <v>2787</v>
      </c>
      <c r="X17" s="93">
        <v>15</v>
      </c>
      <c r="Y17" s="93">
        <v>0</v>
      </c>
      <c r="Z17" s="10">
        <v>192</v>
      </c>
      <c r="AA17" s="93">
        <v>1350</v>
      </c>
      <c r="AB17" s="58">
        <v>36</v>
      </c>
      <c r="AC17" s="52">
        <v>3162.2</v>
      </c>
      <c r="AD17" s="7">
        <v>1366.8</v>
      </c>
      <c r="AE17" s="47">
        <v>1062.5</v>
      </c>
      <c r="AF17" s="103">
        <f t="shared" si="1"/>
        <v>51.693718999999994</v>
      </c>
      <c r="AG17" s="104">
        <f t="shared" si="0"/>
        <v>9.6618999999999993</v>
      </c>
      <c r="AH17" s="105">
        <f t="shared" si="2"/>
        <v>42.505567200000002</v>
      </c>
      <c r="AI17" s="71">
        <f t="shared" si="3"/>
        <v>103.86118619999999</v>
      </c>
      <c r="AK17" s="101" t="s">
        <v>17</v>
      </c>
      <c r="AL17" s="121" t="s">
        <v>108</v>
      </c>
      <c r="AM17" s="102" t="s">
        <v>110</v>
      </c>
      <c r="AW17" s="31"/>
    </row>
    <row r="18" spans="1:54" x14ac:dyDescent="0.25">
      <c r="A18" s="124" t="s">
        <v>11</v>
      </c>
      <c r="B18" s="46">
        <v>8448</v>
      </c>
      <c r="C18" s="3">
        <v>480</v>
      </c>
      <c r="D18" s="3">
        <v>0</v>
      </c>
      <c r="E18" s="3">
        <v>4465</v>
      </c>
      <c r="F18" s="7">
        <v>1136</v>
      </c>
      <c r="G18" s="54">
        <v>8928</v>
      </c>
      <c r="H18" s="81">
        <v>24192</v>
      </c>
      <c r="I18" s="7">
        <v>1380</v>
      </c>
      <c r="J18" s="10">
        <v>12096</v>
      </c>
      <c r="K18" s="10">
        <v>2304</v>
      </c>
      <c r="L18" s="3">
        <v>7129</v>
      </c>
      <c r="M18" s="51">
        <v>276</v>
      </c>
      <c r="N18" s="128">
        <v>1084</v>
      </c>
      <c r="O18" s="54">
        <v>0</v>
      </c>
      <c r="P18" s="93">
        <v>9984</v>
      </c>
      <c r="Q18" s="7">
        <v>165</v>
      </c>
      <c r="R18" s="46">
        <v>226</v>
      </c>
      <c r="S18" s="93">
        <v>0</v>
      </c>
      <c r="T18" s="58">
        <v>0</v>
      </c>
      <c r="U18" s="53">
        <v>0</v>
      </c>
      <c r="V18" s="93">
        <v>0</v>
      </c>
      <c r="W18" s="93">
        <v>2985</v>
      </c>
      <c r="X18" s="93">
        <v>14</v>
      </c>
      <c r="Y18" s="93">
        <v>0</v>
      </c>
      <c r="Z18" s="10">
        <v>192</v>
      </c>
      <c r="AA18" s="93">
        <v>1472</v>
      </c>
      <c r="AB18" s="58">
        <v>34</v>
      </c>
      <c r="AC18" s="52">
        <v>3115.84</v>
      </c>
      <c r="AD18" s="7">
        <v>2881.5</v>
      </c>
      <c r="AE18" s="47">
        <v>0</v>
      </c>
      <c r="AF18" s="103">
        <f t="shared" si="1"/>
        <v>59.411330999999997</v>
      </c>
      <c r="AG18" s="104">
        <f t="shared" si="0"/>
        <v>15.6721</v>
      </c>
      <c r="AH18" s="105">
        <f t="shared" si="2"/>
        <v>46.923567500000004</v>
      </c>
      <c r="AI18" s="71">
        <f t="shared" si="3"/>
        <v>122.00699849999999</v>
      </c>
      <c r="AK18" s="97" t="s">
        <v>104</v>
      </c>
      <c r="AL18" s="95">
        <v>312123</v>
      </c>
      <c r="AM18" s="108" t="s">
        <v>18</v>
      </c>
      <c r="AW18" s="31"/>
    </row>
    <row r="19" spans="1:54" x14ac:dyDescent="0.25">
      <c r="A19" s="125" t="s">
        <v>14</v>
      </c>
      <c r="B19" s="88">
        <f t="shared" ref="B19:AH19" si="4">SUM(B7:B18)</f>
        <v>102528</v>
      </c>
      <c r="C19" s="89">
        <f t="shared" si="4"/>
        <v>9120</v>
      </c>
      <c r="D19" s="89">
        <f t="shared" si="4"/>
        <v>181</v>
      </c>
      <c r="E19" s="89">
        <f>SUM(E7:E18)</f>
        <v>24171</v>
      </c>
      <c r="F19" s="89">
        <f>SUM(F7:F18)</f>
        <v>7689</v>
      </c>
      <c r="G19" s="90">
        <f>SUM(G7:G18)</f>
        <v>101664</v>
      </c>
      <c r="H19" s="91">
        <f t="shared" si="4"/>
        <v>316224</v>
      </c>
      <c r="I19" s="89">
        <f>SUM(I7:I18)</f>
        <v>17622</v>
      </c>
      <c r="J19" s="89">
        <f t="shared" ref="J19:K19" si="5">SUM(J7:J18)</f>
        <v>121920</v>
      </c>
      <c r="K19" s="89">
        <f t="shared" si="5"/>
        <v>23904</v>
      </c>
      <c r="L19" s="89">
        <f t="shared" si="4"/>
        <v>19869</v>
      </c>
      <c r="M19" s="90">
        <f>SUM(M7:M18)</f>
        <v>8694</v>
      </c>
      <c r="N19" s="91">
        <f>SUM(N7:N18)</f>
        <v>10363</v>
      </c>
      <c r="O19" s="90">
        <f t="shared" si="4"/>
        <v>0</v>
      </c>
      <c r="P19" s="88">
        <f>SUM(P7:P18)</f>
        <v>104832</v>
      </c>
      <c r="Q19" s="89">
        <f>SUM(Q7:Q18)</f>
        <v>3752</v>
      </c>
      <c r="R19" s="88">
        <f>SUM(R7:R18)</f>
        <v>3914</v>
      </c>
      <c r="S19" s="89">
        <f t="shared" ref="S19" si="6">SUM(S7:S18)</f>
        <v>35136</v>
      </c>
      <c r="T19" s="90">
        <f>SUM(T7:T18)</f>
        <v>0</v>
      </c>
      <c r="U19" s="88">
        <f t="shared" ref="U19:X19" si="7">SUM(U7:U18)</f>
        <v>0</v>
      </c>
      <c r="V19" s="89">
        <f t="shared" si="7"/>
        <v>0</v>
      </c>
      <c r="W19" s="89">
        <f t="shared" si="7"/>
        <v>30225</v>
      </c>
      <c r="X19" s="89">
        <f t="shared" si="7"/>
        <v>197</v>
      </c>
      <c r="Y19" s="89">
        <f>SUM(Y7:Y18)</f>
        <v>0</v>
      </c>
      <c r="Z19" s="89">
        <f>SUM(Z7:Z18)</f>
        <v>2112</v>
      </c>
      <c r="AA19" s="89">
        <f t="shared" ref="AA19" si="8">SUM(AA7:AA18)</f>
        <v>13897</v>
      </c>
      <c r="AB19" s="90">
        <f>SUM(AB7:AB18)</f>
        <v>403</v>
      </c>
      <c r="AC19" s="88">
        <f>SUM(AC7:AC18)</f>
        <v>39173.649999999994</v>
      </c>
      <c r="AD19" s="89">
        <f>SUM(AD7:AD18)</f>
        <v>8273.7000000000007</v>
      </c>
      <c r="AE19" s="90">
        <f>SUM(AE7:AE18)</f>
        <v>14796.3</v>
      </c>
      <c r="AF19" s="106">
        <f>SUM(AF7:AF18)</f>
        <v>650.90661999999998</v>
      </c>
      <c r="AG19" s="107">
        <f t="shared" si="4"/>
        <v>200.1121</v>
      </c>
      <c r="AH19" s="107">
        <f t="shared" si="4"/>
        <v>454.6304513</v>
      </c>
      <c r="AI19" s="92">
        <f>SUM(AI7:AI18)</f>
        <v>1305.6491713</v>
      </c>
      <c r="AK19" s="98" t="s">
        <v>105</v>
      </c>
      <c r="AL19" s="96">
        <v>344295</v>
      </c>
      <c r="AM19" s="109" t="s">
        <v>18</v>
      </c>
      <c r="AW19" s="31"/>
    </row>
    <row r="20" spans="1:54" ht="15.75" thickBot="1" x14ac:dyDescent="0.3">
      <c r="A20" s="126" t="s">
        <v>41</v>
      </c>
      <c r="B20" s="48">
        <f t="shared" ref="B20:Z20" si="9">7.07*10^-4</f>
        <v>7.0700000000000005E-4</v>
      </c>
      <c r="C20" s="4">
        <f t="shared" si="9"/>
        <v>7.0700000000000005E-4</v>
      </c>
      <c r="D20" s="4">
        <f t="shared" si="9"/>
        <v>7.0700000000000005E-4</v>
      </c>
      <c r="E20" s="4">
        <f t="shared" si="9"/>
        <v>7.0700000000000005E-4</v>
      </c>
      <c r="F20" s="5">
        <v>5.3E-3</v>
      </c>
      <c r="G20" s="59">
        <f>7.07*10^-4</f>
        <v>7.0700000000000005E-4</v>
      </c>
      <c r="H20" s="82">
        <f t="shared" si="9"/>
        <v>7.0700000000000005E-4</v>
      </c>
      <c r="I20" s="5">
        <v>5.3E-3</v>
      </c>
      <c r="J20" s="4">
        <f t="shared" si="9"/>
        <v>7.0700000000000005E-4</v>
      </c>
      <c r="K20" s="4">
        <f t="shared" si="9"/>
        <v>7.0700000000000005E-4</v>
      </c>
      <c r="L20" s="4">
        <f t="shared" si="9"/>
        <v>7.0700000000000005E-4</v>
      </c>
      <c r="M20" s="49">
        <v>5.3E-3</v>
      </c>
      <c r="N20" s="82">
        <f t="shared" ref="N20:AB20" si="10">7.07*10^-4</f>
        <v>7.0700000000000005E-4</v>
      </c>
      <c r="O20" s="49">
        <v>5.3E-3</v>
      </c>
      <c r="P20" s="48">
        <f>7.07*10^-4</f>
        <v>7.0700000000000005E-4</v>
      </c>
      <c r="Q20" s="5">
        <v>5.3E-3</v>
      </c>
      <c r="R20" s="48">
        <f t="shared" si="9"/>
        <v>7.0700000000000005E-4</v>
      </c>
      <c r="S20" s="4">
        <f t="shared" si="10"/>
        <v>7.0700000000000005E-4</v>
      </c>
      <c r="T20" s="59">
        <f t="shared" si="10"/>
        <v>7.0700000000000005E-4</v>
      </c>
      <c r="U20" s="48">
        <f t="shared" si="10"/>
        <v>7.0700000000000005E-4</v>
      </c>
      <c r="V20" s="4">
        <f t="shared" si="10"/>
        <v>7.0700000000000005E-4</v>
      </c>
      <c r="W20" s="4">
        <f t="shared" si="10"/>
        <v>7.0700000000000005E-4</v>
      </c>
      <c r="X20" s="4">
        <f t="shared" si="10"/>
        <v>7.0700000000000005E-4</v>
      </c>
      <c r="Y20" s="4">
        <f t="shared" si="10"/>
        <v>7.0700000000000005E-4</v>
      </c>
      <c r="Z20" s="4">
        <f t="shared" si="9"/>
        <v>7.0700000000000005E-4</v>
      </c>
      <c r="AA20" s="4">
        <f t="shared" si="10"/>
        <v>7.0700000000000005E-4</v>
      </c>
      <c r="AB20" s="59">
        <f t="shared" si="10"/>
        <v>7.0700000000000005E-4</v>
      </c>
      <c r="AC20" s="63">
        <v>5.5999999999999999E-3</v>
      </c>
      <c r="AD20" s="5">
        <f>0.010229</f>
        <v>1.0229E-2</v>
      </c>
      <c r="AE20" s="64">
        <f>10.18*10^-3</f>
        <v>1.018E-2</v>
      </c>
      <c r="AF20" s="47">
        <v>1</v>
      </c>
      <c r="AG20" s="83">
        <v>1</v>
      </c>
      <c r="AH20" s="73">
        <v>1</v>
      </c>
      <c r="AI20" s="72">
        <v>1</v>
      </c>
      <c r="AK20" s="53" t="s">
        <v>106</v>
      </c>
      <c r="AL20" s="96">
        <v>121323</v>
      </c>
      <c r="AM20" s="110" t="s">
        <v>18</v>
      </c>
      <c r="AW20" s="27"/>
    </row>
    <row r="21" spans="1:54" ht="16.899999999999999" customHeight="1" thickBot="1" x14ac:dyDescent="0.3">
      <c r="A21" s="127" t="s">
        <v>23</v>
      </c>
      <c r="B21" s="84">
        <f t="shared" ref="B21:C21" si="11">B19*B20</f>
        <v>72.487296000000001</v>
      </c>
      <c r="C21" s="85">
        <f t="shared" si="11"/>
        <v>6.4478400000000002</v>
      </c>
      <c r="D21" s="85">
        <f>D19*D20</f>
        <v>0.127967</v>
      </c>
      <c r="E21" s="85">
        <f>E19*E20</f>
        <v>17.088897000000003</v>
      </c>
      <c r="F21" s="85">
        <f>F19*F20</f>
        <v>40.7517</v>
      </c>
      <c r="G21" s="86">
        <f>G19*G20</f>
        <v>71.876448000000011</v>
      </c>
      <c r="H21" s="87">
        <f t="shared" ref="H21" si="12">H19*H20</f>
        <v>223.57036800000003</v>
      </c>
      <c r="I21" s="85">
        <f>I19*I20</f>
        <v>93.396600000000007</v>
      </c>
      <c r="J21" s="85">
        <f t="shared" ref="J21:AH21" si="13">J19*J20</f>
        <v>86.19744</v>
      </c>
      <c r="K21" s="85">
        <f t="shared" si="13"/>
        <v>16.900128000000002</v>
      </c>
      <c r="L21" s="85">
        <f t="shared" si="13"/>
        <v>14.047383000000002</v>
      </c>
      <c r="M21" s="86">
        <f t="shared" si="13"/>
        <v>46.078200000000002</v>
      </c>
      <c r="N21" s="87">
        <f t="shared" si="13"/>
        <v>7.3266410000000004</v>
      </c>
      <c r="O21" s="86">
        <f t="shared" si="13"/>
        <v>0</v>
      </c>
      <c r="P21" s="84">
        <f t="shared" si="13"/>
        <v>74.116224000000003</v>
      </c>
      <c r="Q21" s="85">
        <f t="shared" si="13"/>
        <v>19.8856</v>
      </c>
      <c r="R21" s="84">
        <f t="shared" si="13"/>
        <v>2.767198</v>
      </c>
      <c r="S21" s="85">
        <f t="shared" si="13"/>
        <v>24.841152000000001</v>
      </c>
      <c r="T21" s="86">
        <f t="shared" si="13"/>
        <v>0</v>
      </c>
      <c r="U21" s="84">
        <f t="shared" si="13"/>
        <v>0</v>
      </c>
      <c r="V21" s="85">
        <f t="shared" si="13"/>
        <v>0</v>
      </c>
      <c r="W21" s="85">
        <f t="shared" si="13"/>
        <v>21.369075000000002</v>
      </c>
      <c r="X21" s="85">
        <f t="shared" si="13"/>
        <v>0.13927900000000001</v>
      </c>
      <c r="Y21" s="85">
        <f t="shared" si="13"/>
        <v>0</v>
      </c>
      <c r="Z21" s="85">
        <f t="shared" si="13"/>
        <v>1.4931840000000001</v>
      </c>
      <c r="AA21" s="85">
        <f t="shared" si="13"/>
        <v>9.8251790000000003</v>
      </c>
      <c r="AB21" s="86">
        <f t="shared" si="13"/>
        <v>0.28492100000000004</v>
      </c>
      <c r="AC21" s="84">
        <f t="shared" si="13"/>
        <v>219.37243999999995</v>
      </c>
      <c r="AD21" s="85">
        <f t="shared" si="13"/>
        <v>84.631677300000007</v>
      </c>
      <c r="AE21" s="86">
        <f t="shared" si="13"/>
        <v>150.62633399999999</v>
      </c>
      <c r="AF21" s="84">
        <f t="shared" si="13"/>
        <v>650.90661999999998</v>
      </c>
      <c r="AG21" s="85">
        <f t="shared" si="13"/>
        <v>200.1121</v>
      </c>
      <c r="AH21" s="85">
        <f t="shared" si="13"/>
        <v>454.6304513</v>
      </c>
      <c r="AI21" s="74">
        <f>SUM(AF21,AG21,AH21)</f>
        <v>1305.6491713</v>
      </c>
      <c r="AK21" s="99" t="s">
        <v>107</v>
      </c>
      <c r="AL21" s="100">
        <f>SUM(AL18:AL20)</f>
        <v>777741</v>
      </c>
      <c r="AM21" s="114">
        <f>(AI21*2204.62/AL21)</f>
        <v>3.7010525046659573</v>
      </c>
      <c r="AW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94"/>
    </row>
    <row r="23" spans="1:54" x14ac:dyDescent="0.25">
      <c r="B23" s="12" t="s">
        <v>123</v>
      </c>
      <c r="F23" s="35" t="s">
        <v>22</v>
      </c>
      <c r="Q23" t="s">
        <v>137</v>
      </c>
      <c r="AY23" s="94"/>
    </row>
    <row r="24" spans="1:54" ht="15.6" customHeight="1" x14ac:dyDescent="0.25">
      <c r="B24" t="s">
        <v>124</v>
      </c>
      <c r="F24" s="75" t="s">
        <v>125</v>
      </c>
      <c r="H24" s="75"/>
      <c r="I24" s="75"/>
      <c r="Q24" s="12" t="s">
        <v>138</v>
      </c>
      <c r="AY24" s="94"/>
    </row>
    <row r="25" spans="1:54" x14ac:dyDescent="0.25">
      <c r="L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94"/>
    </row>
    <row r="26" spans="1:54" x14ac:dyDescent="0.25"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94"/>
      <c r="Q27" s="20"/>
      <c r="R27" s="20"/>
      <c r="S27" s="94"/>
      <c r="T27" s="94"/>
      <c r="U27" s="12"/>
      <c r="V27" s="12"/>
      <c r="W27" s="12"/>
      <c r="X27" s="12"/>
      <c r="Y27" s="12"/>
      <c r="Z27" s="12"/>
    </row>
    <row r="28" spans="1:54" x14ac:dyDescent="0.25">
      <c r="P28" s="94"/>
      <c r="Q28" s="20"/>
      <c r="R28" s="20"/>
      <c r="S28" s="94"/>
      <c r="T28" s="94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9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9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9">
    <mergeCell ref="AC1:AE1"/>
    <mergeCell ref="AF1:AI1"/>
    <mergeCell ref="AM1:AW1"/>
    <mergeCell ref="B1:G1"/>
    <mergeCell ref="H1:M1"/>
    <mergeCell ref="N1:O1"/>
    <mergeCell ref="P1:Q1"/>
    <mergeCell ref="R1:T1"/>
    <mergeCell ref="U1:AB1"/>
  </mergeCells>
  <hyperlinks>
    <hyperlink ref="F24" r:id="rId1"/>
    <hyperlink ref="F23" r:id="rId2"/>
  </hyperlinks>
  <pageMargins left="0.7" right="0.7" top="0.75" bottom="0.75" header="0.3" footer="0.3"/>
  <pageSetup paperSize="17" orientation="landscape" r:id="rId3"/>
  <headerFooter>
    <oddHeader>&amp;L&amp;"-,Bold"&amp;14Duluth Seaway Port Authority&amp;C&amp;"-,Bold"&amp;14Green Marine Greenhouse Gas Emisions &amp;R&amp;"-,Bold"&amp;14 2015</oddHead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39"/>
  <sheetViews>
    <sheetView showWhiteSpace="0" zoomScaleNormal="100" workbookViewId="0">
      <pane xSplit="1" topLeftCell="AC1" activePane="topRight" state="frozen"/>
      <selection pane="topRight" activeCell="AL19" sqref="AL19"/>
    </sheetView>
  </sheetViews>
  <sheetFormatPr defaultRowHeight="15" x14ac:dyDescent="0.25"/>
  <cols>
    <col min="1" max="1" width="20.28515625" bestFit="1" customWidth="1"/>
    <col min="2" max="2" width="11.7109375" customWidth="1"/>
    <col min="3" max="3" width="15.28515625" bestFit="1" customWidth="1"/>
    <col min="4" max="4" width="12.7109375" customWidth="1"/>
    <col min="5" max="5" width="15.28515625" bestFit="1" customWidth="1"/>
    <col min="6" max="6" width="14.28515625" customWidth="1"/>
    <col min="7" max="7" width="14.85546875" customWidth="1"/>
    <col min="8" max="9" width="14.140625" customWidth="1"/>
    <col min="10" max="10" width="14.28515625" customWidth="1"/>
    <col min="11" max="11" width="15.28515625" bestFit="1" customWidth="1"/>
    <col min="12" max="12" width="11.7109375" bestFit="1" customWidth="1"/>
    <col min="13" max="13" width="15.28515625" bestFit="1" customWidth="1"/>
    <col min="14" max="14" width="14.28515625" customWidth="1"/>
    <col min="15" max="15" width="14.710937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8" width="13.85546875" customWidth="1"/>
    <col min="29" max="29" width="14.5703125" customWidth="1"/>
    <col min="30" max="30" width="15.28515625" customWidth="1"/>
    <col min="31" max="31" width="16.7109375" customWidth="1"/>
    <col min="32" max="32" width="15" bestFit="1" customWidth="1"/>
    <col min="33" max="33" width="15.42578125" customWidth="1"/>
    <col min="34" max="34" width="16.28515625" customWidth="1"/>
    <col min="35" max="35" width="15" bestFit="1" customWidth="1"/>
    <col min="36" max="36" width="15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3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80"/>
      <c r="H1" s="179" t="s">
        <v>126</v>
      </c>
      <c r="I1" s="179"/>
      <c r="J1" s="179"/>
      <c r="K1" s="179"/>
      <c r="L1" s="179"/>
      <c r="M1" s="180"/>
      <c r="N1" s="179" t="s">
        <v>47</v>
      </c>
      <c r="O1" s="179"/>
      <c r="P1" s="178" t="s">
        <v>90</v>
      </c>
      <c r="Q1" s="180"/>
      <c r="R1" s="178" t="s">
        <v>19</v>
      </c>
      <c r="S1" s="179"/>
      <c r="T1" s="180"/>
      <c r="U1" s="178" t="s">
        <v>92</v>
      </c>
      <c r="V1" s="179"/>
      <c r="W1" s="179"/>
      <c r="X1" s="179"/>
      <c r="Y1" s="179"/>
      <c r="Z1" s="179"/>
      <c r="AA1" s="179"/>
      <c r="AB1" s="180"/>
      <c r="AC1" s="178" t="s">
        <v>129</v>
      </c>
      <c r="AD1" s="179"/>
      <c r="AE1" s="180"/>
      <c r="AF1" s="178" t="s">
        <v>93</v>
      </c>
      <c r="AG1" s="179"/>
      <c r="AH1" s="179"/>
      <c r="AI1" s="180"/>
      <c r="AJ1" s="38"/>
      <c r="AK1" s="38"/>
      <c r="AL1" s="38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38"/>
      <c r="AY1" s="39"/>
      <c r="AZ1" s="12"/>
      <c r="BA1" s="12"/>
    </row>
    <row r="2" spans="1:53" ht="78" customHeight="1" x14ac:dyDescent="0.25">
      <c r="A2" s="155" t="s">
        <v>156</v>
      </c>
      <c r="B2" s="40" t="s">
        <v>121</v>
      </c>
      <c r="C2" s="24" t="s">
        <v>83</v>
      </c>
      <c r="D2" s="24" t="s">
        <v>82</v>
      </c>
      <c r="E2" s="24" t="s">
        <v>122</v>
      </c>
      <c r="F2" s="25" t="s">
        <v>122</v>
      </c>
      <c r="G2" s="56" t="s">
        <v>12</v>
      </c>
      <c r="H2" s="77" t="s">
        <v>13</v>
      </c>
      <c r="I2" s="25" t="s">
        <v>13</v>
      </c>
      <c r="J2" s="24" t="s">
        <v>20</v>
      </c>
      <c r="K2" s="24" t="s">
        <v>99</v>
      </c>
      <c r="L2" s="24" t="s">
        <v>21</v>
      </c>
      <c r="M2" s="41" t="s">
        <v>21</v>
      </c>
      <c r="N2" s="77" t="s">
        <v>47</v>
      </c>
      <c r="O2" s="41" t="s">
        <v>25</v>
      </c>
      <c r="P2" s="40" t="s">
        <v>90</v>
      </c>
      <c r="Q2" s="25" t="s">
        <v>90</v>
      </c>
      <c r="R2" s="40" t="s">
        <v>19</v>
      </c>
      <c r="S2" s="24" t="s">
        <v>84</v>
      </c>
      <c r="T2" s="56" t="s">
        <v>85</v>
      </c>
      <c r="U2" s="40" t="s">
        <v>86</v>
      </c>
      <c r="V2" s="24" t="s">
        <v>87</v>
      </c>
      <c r="W2" s="24" t="s">
        <v>94</v>
      </c>
      <c r="X2" s="24" t="s">
        <v>88</v>
      </c>
      <c r="Y2" s="24" t="s">
        <v>89</v>
      </c>
      <c r="Z2" s="24" t="s">
        <v>100</v>
      </c>
      <c r="AA2" s="24" t="s">
        <v>46</v>
      </c>
      <c r="AB2" s="56" t="s">
        <v>91</v>
      </c>
      <c r="AC2" s="133" t="s">
        <v>148</v>
      </c>
      <c r="AD2" s="37" t="s">
        <v>145</v>
      </c>
      <c r="AE2" s="60" t="s">
        <v>146</v>
      </c>
      <c r="AF2" s="40" t="s">
        <v>95</v>
      </c>
      <c r="AG2" s="25" t="s">
        <v>111</v>
      </c>
      <c r="AH2" s="37" t="s">
        <v>147</v>
      </c>
      <c r="AI2" s="65" t="s">
        <v>96</v>
      </c>
      <c r="AQ2" s="12"/>
      <c r="AR2" s="13"/>
      <c r="AT2" s="13"/>
      <c r="AW2" s="28"/>
    </row>
    <row r="3" spans="1:53" x14ac:dyDescent="0.25">
      <c r="A3" s="152" t="s">
        <v>155</v>
      </c>
      <c r="B3" s="42" t="s">
        <v>42</v>
      </c>
      <c r="C3" s="6" t="s">
        <v>42</v>
      </c>
      <c r="D3" s="6" t="s">
        <v>42</v>
      </c>
      <c r="E3" s="6" t="s">
        <v>42</v>
      </c>
      <c r="F3" s="6" t="s">
        <v>42</v>
      </c>
      <c r="G3" s="43" t="s">
        <v>42</v>
      </c>
      <c r="H3" s="78" t="s">
        <v>42</v>
      </c>
      <c r="I3" s="6" t="s">
        <v>42</v>
      </c>
      <c r="J3" s="6" t="s">
        <v>42</v>
      </c>
      <c r="K3" s="6" t="s">
        <v>42</v>
      </c>
      <c r="L3" s="6" t="s">
        <v>42</v>
      </c>
      <c r="M3" s="43" t="s">
        <v>42</v>
      </c>
      <c r="N3" s="78" t="s">
        <v>43</v>
      </c>
      <c r="O3" s="43" t="s">
        <v>42</v>
      </c>
      <c r="P3" s="42" t="s">
        <v>43</v>
      </c>
      <c r="Q3" s="6" t="s">
        <v>43</v>
      </c>
      <c r="R3" s="42" t="s">
        <v>42</v>
      </c>
      <c r="S3" s="6" t="s">
        <v>43</v>
      </c>
      <c r="T3" s="43" t="s">
        <v>43</v>
      </c>
      <c r="U3" s="42" t="s">
        <v>43</v>
      </c>
      <c r="V3" s="6" t="s">
        <v>43</v>
      </c>
      <c r="W3" s="6" t="s">
        <v>43</v>
      </c>
      <c r="X3" s="6" t="s">
        <v>43</v>
      </c>
      <c r="Y3" s="6" t="s">
        <v>43</v>
      </c>
      <c r="Z3" s="6" t="s">
        <v>42</v>
      </c>
      <c r="AA3" s="6" t="s">
        <v>43</v>
      </c>
      <c r="AB3" s="43" t="s">
        <v>43</v>
      </c>
      <c r="AC3" s="78" t="s">
        <v>42</v>
      </c>
      <c r="AD3" s="6" t="s">
        <v>42</v>
      </c>
      <c r="AE3" s="43" t="s">
        <v>42</v>
      </c>
      <c r="AF3" s="66" t="s">
        <v>97</v>
      </c>
      <c r="AG3" s="11" t="s">
        <v>97</v>
      </c>
      <c r="AH3" s="21" t="s">
        <v>97</v>
      </c>
      <c r="AI3" s="67" t="s">
        <v>97</v>
      </c>
      <c r="AN3" s="13"/>
      <c r="AP3" s="33"/>
      <c r="AQ3" s="33"/>
      <c r="AW3" s="28"/>
    </row>
    <row r="4" spans="1:53" ht="90" x14ac:dyDescent="0.25">
      <c r="A4" s="153" t="s">
        <v>119</v>
      </c>
      <c r="B4" s="44" t="s">
        <v>36</v>
      </c>
      <c r="C4" s="15" t="s">
        <v>78</v>
      </c>
      <c r="D4" s="15" t="s">
        <v>81</v>
      </c>
      <c r="E4" s="15" t="s">
        <v>76</v>
      </c>
      <c r="F4" s="15" t="s">
        <v>28</v>
      </c>
      <c r="G4" s="50" t="s">
        <v>35</v>
      </c>
      <c r="H4" s="79" t="s">
        <v>34</v>
      </c>
      <c r="I4" s="15" t="s">
        <v>32</v>
      </c>
      <c r="J4" s="16" t="s">
        <v>72</v>
      </c>
      <c r="K4" s="16" t="s">
        <v>68</v>
      </c>
      <c r="L4" s="15" t="s">
        <v>71</v>
      </c>
      <c r="M4" s="50" t="s">
        <v>29</v>
      </c>
      <c r="N4" s="111" t="s">
        <v>50</v>
      </c>
      <c r="O4" s="50" t="s">
        <v>27</v>
      </c>
      <c r="P4" s="112" t="s">
        <v>113</v>
      </c>
      <c r="Q4" s="15" t="s">
        <v>113</v>
      </c>
      <c r="R4" s="44" t="s">
        <v>24</v>
      </c>
      <c r="S4" s="15" t="s">
        <v>59</v>
      </c>
      <c r="T4" s="50" t="s">
        <v>58</v>
      </c>
      <c r="U4" s="44" t="s">
        <v>56</v>
      </c>
      <c r="V4" s="15" t="s">
        <v>52</v>
      </c>
      <c r="W4" s="15" t="s">
        <v>62</v>
      </c>
      <c r="X4" s="15" t="s">
        <v>65</v>
      </c>
      <c r="Y4" s="15" t="s">
        <v>64</v>
      </c>
      <c r="Z4" s="16" t="s">
        <v>74</v>
      </c>
      <c r="AA4" s="15" t="s">
        <v>51</v>
      </c>
      <c r="AB4" s="50" t="s">
        <v>57</v>
      </c>
      <c r="AC4" s="111" t="s">
        <v>142</v>
      </c>
      <c r="AD4" s="15" t="s">
        <v>143</v>
      </c>
      <c r="AE4" s="50" t="s">
        <v>144</v>
      </c>
      <c r="AF4" s="68" t="s">
        <v>45</v>
      </c>
      <c r="AG4" s="17" t="s">
        <v>40</v>
      </c>
      <c r="AH4" s="22" t="s">
        <v>116</v>
      </c>
      <c r="AI4" s="69" t="s">
        <v>18</v>
      </c>
      <c r="AN4" s="14"/>
      <c r="AP4" s="14"/>
      <c r="AQ4" s="14"/>
      <c r="AW4" s="29"/>
    </row>
    <row r="5" spans="1:53" x14ac:dyDescent="0.25">
      <c r="A5" s="154" t="s">
        <v>152</v>
      </c>
      <c r="B5" s="44" t="s">
        <v>37</v>
      </c>
      <c r="C5" s="15" t="s">
        <v>80</v>
      </c>
      <c r="D5" s="15" t="s">
        <v>79</v>
      </c>
      <c r="E5" s="15" t="s">
        <v>77</v>
      </c>
      <c r="F5" s="15" t="s">
        <v>30</v>
      </c>
      <c r="G5" s="50" t="s">
        <v>101</v>
      </c>
      <c r="H5" s="79" t="s">
        <v>38</v>
      </c>
      <c r="I5" s="15" t="s">
        <v>33</v>
      </c>
      <c r="J5" s="16" t="s">
        <v>73</v>
      </c>
      <c r="K5" s="16" t="s">
        <v>70</v>
      </c>
      <c r="L5" s="15" t="s">
        <v>69</v>
      </c>
      <c r="M5" s="50" t="s">
        <v>31</v>
      </c>
      <c r="N5" s="111" t="s">
        <v>48</v>
      </c>
      <c r="O5" s="50" t="s">
        <v>39</v>
      </c>
      <c r="P5" s="44" t="s">
        <v>38</v>
      </c>
      <c r="Q5" s="15" t="s">
        <v>114</v>
      </c>
      <c r="R5" s="44" t="s">
        <v>26</v>
      </c>
      <c r="S5" s="15" t="s">
        <v>61</v>
      </c>
      <c r="T5" s="50" t="s">
        <v>60</v>
      </c>
      <c r="U5" s="44" t="s">
        <v>55</v>
      </c>
      <c r="V5" s="15" t="s">
        <v>53</v>
      </c>
      <c r="W5" s="15" t="s">
        <v>63</v>
      </c>
      <c r="X5" s="15" t="s">
        <v>67</v>
      </c>
      <c r="Y5" s="15" t="s">
        <v>66</v>
      </c>
      <c r="Z5" s="16" t="s">
        <v>75</v>
      </c>
      <c r="AA5" s="15" t="s">
        <v>49</v>
      </c>
      <c r="AB5" s="50" t="s">
        <v>54</v>
      </c>
      <c r="AC5" s="111" t="s">
        <v>151</v>
      </c>
      <c r="AD5" s="15" t="s">
        <v>150</v>
      </c>
      <c r="AE5" s="50" t="s">
        <v>149</v>
      </c>
      <c r="AF5" s="68" t="s">
        <v>18</v>
      </c>
      <c r="AG5" s="17" t="s">
        <v>18</v>
      </c>
      <c r="AH5" s="22" t="s">
        <v>18</v>
      </c>
      <c r="AI5" s="69" t="s">
        <v>18</v>
      </c>
      <c r="AN5" s="13"/>
      <c r="AP5" s="13"/>
      <c r="AQ5" s="13"/>
      <c r="AS5" s="13"/>
      <c r="AT5" s="13"/>
      <c r="AU5" s="13"/>
      <c r="AV5" s="13"/>
      <c r="AW5" s="29"/>
    </row>
    <row r="6" spans="1:53" x14ac:dyDescent="0.25">
      <c r="A6" s="156" t="s">
        <v>102</v>
      </c>
      <c r="B6" s="45" t="s">
        <v>15</v>
      </c>
      <c r="C6" s="1" t="s">
        <v>15</v>
      </c>
      <c r="D6" s="1" t="s">
        <v>15</v>
      </c>
      <c r="E6" s="1" t="s">
        <v>15</v>
      </c>
      <c r="F6" s="18" t="s">
        <v>103</v>
      </c>
      <c r="G6" s="57" t="s">
        <v>15</v>
      </c>
      <c r="H6" s="80" t="s">
        <v>15</v>
      </c>
      <c r="I6" s="18" t="s">
        <v>103</v>
      </c>
      <c r="J6" s="1" t="s">
        <v>15</v>
      </c>
      <c r="K6" s="1" t="s">
        <v>15</v>
      </c>
      <c r="L6" s="1" t="s">
        <v>15</v>
      </c>
      <c r="M6" s="129" t="s">
        <v>103</v>
      </c>
      <c r="N6" s="80" t="s">
        <v>15</v>
      </c>
      <c r="O6" s="76" t="s">
        <v>103</v>
      </c>
      <c r="P6" s="45" t="s">
        <v>15</v>
      </c>
      <c r="Q6" s="76" t="s">
        <v>103</v>
      </c>
      <c r="R6" s="45" t="s">
        <v>15</v>
      </c>
      <c r="S6" s="1" t="s">
        <v>15</v>
      </c>
      <c r="T6" s="57" t="s">
        <v>15</v>
      </c>
      <c r="U6" s="45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15</v>
      </c>
      <c r="AA6" s="1" t="s">
        <v>15</v>
      </c>
      <c r="AB6" s="57" t="s">
        <v>15</v>
      </c>
      <c r="AC6" s="23" t="s">
        <v>16</v>
      </c>
      <c r="AD6" s="23" t="s">
        <v>16</v>
      </c>
      <c r="AE6" s="55" t="s">
        <v>16</v>
      </c>
      <c r="AF6" s="45" t="s">
        <v>98</v>
      </c>
      <c r="AG6" s="18" t="s">
        <v>98</v>
      </c>
      <c r="AH6" s="23" t="s">
        <v>98</v>
      </c>
      <c r="AI6" s="70" t="s">
        <v>98</v>
      </c>
      <c r="AN6" s="34"/>
      <c r="AQ6" s="13"/>
      <c r="AR6" s="13"/>
      <c r="AS6" s="13"/>
      <c r="AT6" s="13"/>
      <c r="AU6" s="13"/>
      <c r="AV6" s="13"/>
      <c r="AW6" s="30"/>
    </row>
    <row r="7" spans="1:53" x14ac:dyDescent="0.25">
      <c r="A7" s="126" t="s">
        <v>0</v>
      </c>
      <c r="B7" s="46">
        <v>10368</v>
      </c>
      <c r="C7" s="3">
        <v>1920</v>
      </c>
      <c r="D7" s="3">
        <v>0</v>
      </c>
      <c r="E7" s="3">
        <v>5147</v>
      </c>
      <c r="F7" s="7">
        <v>1833</v>
      </c>
      <c r="G7" s="54">
        <v>9792</v>
      </c>
      <c r="H7" s="81">
        <v>23232</v>
      </c>
      <c r="I7" s="7">
        <v>1877</v>
      </c>
      <c r="J7" s="10">
        <v>13440</v>
      </c>
      <c r="K7" s="10">
        <v>2016</v>
      </c>
      <c r="L7" s="3">
        <v>11240</v>
      </c>
      <c r="M7" s="51">
        <v>0</v>
      </c>
      <c r="N7" s="128">
        <v>1213</v>
      </c>
      <c r="O7" s="54">
        <v>2569</v>
      </c>
      <c r="P7" s="93">
        <v>10944</v>
      </c>
      <c r="Q7" s="7">
        <v>410</v>
      </c>
      <c r="R7" s="46">
        <v>1836</v>
      </c>
      <c r="S7" s="19">
        <v>0</v>
      </c>
      <c r="T7" s="58">
        <v>0</v>
      </c>
      <c r="U7" s="53">
        <v>0</v>
      </c>
      <c r="V7" s="19">
        <v>0</v>
      </c>
      <c r="W7" s="19">
        <v>3155</v>
      </c>
      <c r="X7" s="19">
        <v>14</v>
      </c>
      <c r="Y7" s="19">
        <v>0</v>
      </c>
      <c r="Z7" s="10">
        <v>192</v>
      </c>
      <c r="AA7" s="19">
        <v>1317</v>
      </c>
      <c r="AB7" s="58">
        <v>35</v>
      </c>
      <c r="AC7" s="52">
        <v>3742.2</v>
      </c>
      <c r="AD7" s="7">
        <v>2693.8</v>
      </c>
      <c r="AE7" s="61">
        <v>0</v>
      </c>
      <c r="AF7" s="103">
        <f t="shared" ref="AF7:AF18" si="0">SUM(G7,B7,E7,C7,D7,H7,J7,K7,L7,N7,P7,R7,S7,T7,U7,V7,W7,X7,Y7,Z7,AA7,AB7)*0.000707</f>
        <v>67.773726999999994</v>
      </c>
      <c r="AG7" s="104">
        <f t="shared" ref="AG7:AG18" si="1">SUM(F7,I7,M7,O7,Q7)*0.0053</f>
        <v>35.451700000000002</v>
      </c>
      <c r="AH7" s="105">
        <f>SUM(AC7*AC$20,AD7*AD$20,AE7*AE$20)</f>
        <v>48.511200200000005</v>
      </c>
      <c r="AI7" s="71">
        <f>SUM(AF7,AG7,AH7)</f>
        <v>151.73662719999999</v>
      </c>
      <c r="AN7" s="12"/>
      <c r="AQ7" s="12"/>
      <c r="AR7" s="12"/>
      <c r="AS7" s="12"/>
      <c r="AT7" s="12"/>
      <c r="AU7" s="12"/>
      <c r="AV7" s="12"/>
      <c r="AW7" s="31"/>
    </row>
    <row r="8" spans="1:53" ht="14.45" customHeight="1" x14ac:dyDescent="0.25">
      <c r="A8" s="126" t="s">
        <v>1</v>
      </c>
      <c r="B8" s="46">
        <v>10752</v>
      </c>
      <c r="C8" s="3">
        <v>480</v>
      </c>
      <c r="D8" s="3">
        <v>0</v>
      </c>
      <c r="E8" s="3">
        <v>6195</v>
      </c>
      <c r="F8" s="7">
        <v>1673</v>
      </c>
      <c r="G8" s="54">
        <v>11520</v>
      </c>
      <c r="H8" s="81">
        <v>25536</v>
      </c>
      <c r="I8" s="7">
        <v>1573</v>
      </c>
      <c r="J8" s="10">
        <v>15552</v>
      </c>
      <c r="K8" s="10">
        <v>2304</v>
      </c>
      <c r="L8" s="3">
        <v>10684</v>
      </c>
      <c r="M8" s="51">
        <v>219</v>
      </c>
      <c r="N8" s="128">
        <v>1308</v>
      </c>
      <c r="O8" s="54">
        <v>2411</v>
      </c>
      <c r="P8" s="93">
        <v>12864</v>
      </c>
      <c r="Q8" s="7">
        <v>635</v>
      </c>
      <c r="R8" s="46">
        <v>3089</v>
      </c>
      <c r="S8" s="19">
        <v>0</v>
      </c>
      <c r="T8" s="58">
        <v>0</v>
      </c>
      <c r="U8" s="53">
        <v>0</v>
      </c>
      <c r="V8" s="19">
        <v>0</v>
      </c>
      <c r="W8" s="19">
        <v>2993</v>
      </c>
      <c r="X8" s="19">
        <v>14</v>
      </c>
      <c r="Y8" s="19">
        <v>0</v>
      </c>
      <c r="Z8" s="10">
        <v>192</v>
      </c>
      <c r="AA8" s="19">
        <v>1238</v>
      </c>
      <c r="AB8" s="58">
        <v>36</v>
      </c>
      <c r="AC8" s="52">
        <v>3439.8</v>
      </c>
      <c r="AD8" s="7">
        <v>1678.2</v>
      </c>
      <c r="AE8" s="61">
        <v>0</v>
      </c>
      <c r="AF8" s="103">
        <f t="shared" si="0"/>
        <v>74.063198999999997</v>
      </c>
      <c r="AG8" s="104">
        <f t="shared" si="1"/>
        <v>34.508299999999998</v>
      </c>
      <c r="AH8" s="105">
        <f t="shared" ref="AH8:AH18" si="2">SUM(AC8*AC$20,AD8*AD$20,AE8*AE$20)</f>
        <v>36.429187800000001</v>
      </c>
      <c r="AI8" s="71">
        <f t="shared" ref="AI8:AI18" si="3">SUM(AF8,AG8,AH8)</f>
        <v>145.00068679999998</v>
      </c>
      <c r="AW8" s="31"/>
    </row>
    <row r="9" spans="1:53" x14ac:dyDescent="0.25">
      <c r="A9" s="124" t="s">
        <v>2</v>
      </c>
      <c r="B9" s="46">
        <v>10752</v>
      </c>
      <c r="C9" s="3">
        <v>0</v>
      </c>
      <c r="D9" s="3">
        <v>0</v>
      </c>
      <c r="E9" s="3">
        <v>6414</v>
      </c>
      <c r="F9" s="7">
        <v>1554</v>
      </c>
      <c r="G9" s="54">
        <v>10944</v>
      </c>
      <c r="H9" s="81">
        <v>20544</v>
      </c>
      <c r="I9" s="7">
        <v>1517</v>
      </c>
      <c r="J9" s="10">
        <v>15168</v>
      </c>
      <c r="K9" s="10">
        <v>2304</v>
      </c>
      <c r="L9" s="3">
        <v>6694</v>
      </c>
      <c r="M9" s="51">
        <v>0</v>
      </c>
      <c r="N9" s="128">
        <v>1284</v>
      </c>
      <c r="O9" s="54">
        <v>2097</v>
      </c>
      <c r="P9" s="93">
        <v>12096</v>
      </c>
      <c r="Q9" s="7">
        <v>788</v>
      </c>
      <c r="R9" s="46">
        <v>572</v>
      </c>
      <c r="S9" s="19">
        <v>0</v>
      </c>
      <c r="T9" s="58">
        <v>0</v>
      </c>
      <c r="U9" s="53">
        <v>0</v>
      </c>
      <c r="V9" s="19">
        <v>0</v>
      </c>
      <c r="W9" s="19">
        <v>2513</v>
      </c>
      <c r="X9" s="19">
        <v>13</v>
      </c>
      <c r="Y9" s="19">
        <v>0</v>
      </c>
      <c r="Z9" s="10">
        <v>384</v>
      </c>
      <c r="AA9" s="19">
        <v>1076</v>
      </c>
      <c r="AB9" s="58">
        <v>33</v>
      </c>
      <c r="AC9" s="52">
        <v>2918.5</v>
      </c>
      <c r="AD9" s="7">
        <v>372.3</v>
      </c>
      <c r="AE9" s="61">
        <v>1247.7</v>
      </c>
      <c r="AF9" s="103">
        <f t="shared" si="0"/>
        <v>64.189236999999991</v>
      </c>
      <c r="AG9" s="104">
        <f t="shared" si="1"/>
        <v>31.566800000000001</v>
      </c>
      <c r="AH9" s="105">
        <f t="shared" si="2"/>
        <v>32.853442700000002</v>
      </c>
      <c r="AI9" s="71">
        <f t="shared" si="3"/>
        <v>128.60947970000001</v>
      </c>
      <c r="AW9" s="31"/>
    </row>
    <row r="10" spans="1:53" x14ac:dyDescent="0.25">
      <c r="A10" s="124" t="s">
        <v>3</v>
      </c>
      <c r="B10" s="46">
        <v>9984</v>
      </c>
      <c r="C10" s="3">
        <v>480</v>
      </c>
      <c r="D10" s="3">
        <v>0</v>
      </c>
      <c r="E10" s="3">
        <v>5718</v>
      </c>
      <c r="F10" s="7">
        <v>1096</v>
      </c>
      <c r="G10" s="54">
        <v>11520</v>
      </c>
      <c r="H10" s="81">
        <v>25728</v>
      </c>
      <c r="I10" s="7">
        <v>1496</v>
      </c>
      <c r="J10" s="10">
        <v>13440</v>
      </c>
      <c r="K10" s="10">
        <v>2304</v>
      </c>
      <c r="L10" s="3">
        <v>5150</v>
      </c>
      <c r="M10" s="51">
        <v>1</v>
      </c>
      <c r="N10" s="128">
        <v>3200</v>
      </c>
      <c r="O10" s="54">
        <v>1557</v>
      </c>
      <c r="P10" s="93">
        <v>0</v>
      </c>
      <c r="Q10" s="7">
        <v>821</v>
      </c>
      <c r="R10" s="46">
        <v>444</v>
      </c>
      <c r="S10" s="19">
        <v>0</v>
      </c>
      <c r="T10" s="58">
        <v>0</v>
      </c>
      <c r="U10" s="53">
        <v>0</v>
      </c>
      <c r="V10" s="19">
        <v>0</v>
      </c>
      <c r="W10" s="19">
        <v>2369</v>
      </c>
      <c r="X10" s="19">
        <v>14</v>
      </c>
      <c r="Y10" s="19">
        <v>0</v>
      </c>
      <c r="Z10" s="10">
        <v>192</v>
      </c>
      <c r="AA10" s="19">
        <v>1014</v>
      </c>
      <c r="AB10" s="58">
        <v>36</v>
      </c>
      <c r="AC10" s="52">
        <v>2591.3000000000002</v>
      </c>
      <c r="AD10" s="7">
        <v>0</v>
      </c>
      <c r="AE10" s="61">
        <v>1662.7</v>
      </c>
      <c r="AF10" s="103">
        <f t="shared" si="0"/>
        <v>57.686250999999999</v>
      </c>
      <c r="AG10" s="104">
        <f t="shared" si="1"/>
        <v>26.346299999999999</v>
      </c>
      <c r="AH10" s="105">
        <f t="shared" si="2"/>
        <v>31.437566000000004</v>
      </c>
      <c r="AI10" s="71">
        <f t="shared" si="3"/>
        <v>115.470117</v>
      </c>
      <c r="AL10" s="12"/>
      <c r="AM10" s="12"/>
      <c r="AW10" s="31"/>
    </row>
    <row r="11" spans="1:53" x14ac:dyDescent="0.25">
      <c r="A11" s="124" t="s">
        <v>4</v>
      </c>
      <c r="B11" s="46">
        <v>9216</v>
      </c>
      <c r="C11" s="3">
        <v>1440</v>
      </c>
      <c r="D11" s="3">
        <v>0</v>
      </c>
      <c r="E11" s="3">
        <v>5216</v>
      </c>
      <c r="F11" s="7">
        <v>640</v>
      </c>
      <c r="G11" s="54">
        <v>15552</v>
      </c>
      <c r="H11" s="81">
        <v>23616</v>
      </c>
      <c r="I11" s="7">
        <v>564</v>
      </c>
      <c r="J11" s="10">
        <v>11904</v>
      </c>
      <c r="K11" s="10">
        <v>2304</v>
      </c>
      <c r="L11" s="3">
        <v>4509</v>
      </c>
      <c r="M11" s="51">
        <v>0</v>
      </c>
      <c r="N11" s="128">
        <v>1505</v>
      </c>
      <c r="O11" s="54">
        <v>827</v>
      </c>
      <c r="P11" s="93">
        <v>10560</v>
      </c>
      <c r="Q11" s="7">
        <v>463</v>
      </c>
      <c r="R11" s="46">
        <v>147</v>
      </c>
      <c r="S11" s="19">
        <v>0</v>
      </c>
      <c r="T11" s="58">
        <v>0</v>
      </c>
      <c r="U11" s="53">
        <v>0</v>
      </c>
      <c r="V11" s="19">
        <v>0</v>
      </c>
      <c r="W11" s="19">
        <v>1941</v>
      </c>
      <c r="X11" s="19">
        <v>10</v>
      </c>
      <c r="Y11" s="19">
        <v>0</v>
      </c>
      <c r="Z11" s="10">
        <v>192</v>
      </c>
      <c r="AA11" s="19">
        <v>778</v>
      </c>
      <c r="AB11" s="58">
        <v>36</v>
      </c>
      <c r="AC11" s="52">
        <v>2861</v>
      </c>
      <c r="AD11" s="7">
        <v>0</v>
      </c>
      <c r="AE11" s="61">
        <v>2439</v>
      </c>
      <c r="AF11" s="103">
        <f t="shared" si="0"/>
        <v>62.870681999999995</v>
      </c>
      <c r="AG11" s="104">
        <f t="shared" si="1"/>
        <v>13.2182</v>
      </c>
      <c r="AH11" s="105">
        <f t="shared" si="2"/>
        <v>40.850619999999999</v>
      </c>
      <c r="AI11" s="71">
        <f t="shared" si="3"/>
        <v>116.939502</v>
      </c>
      <c r="AW11" s="31"/>
    </row>
    <row r="12" spans="1:53" x14ac:dyDescent="0.25">
      <c r="A12" s="124" t="s">
        <v>5</v>
      </c>
      <c r="B12" s="46">
        <v>8064</v>
      </c>
      <c r="C12" s="3">
        <v>480</v>
      </c>
      <c r="D12" s="3">
        <v>51</v>
      </c>
      <c r="E12" s="3">
        <v>3992</v>
      </c>
      <c r="F12" s="7">
        <v>94</v>
      </c>
      <c r="G12" s="54">
        <v>13248</v>
      </c>
      <c r="H12" s="81">
        <v>24592</v>
      </c>
      <c r="I12" s="7">
        <v>1090</v>
      </c>
      <c r="J12" s="10">
        <v>10752</v>
      </c>
      <c r="K12" s="10">
        <v>2016</v>
      </c>
      <c r="L12" s="3">
        <v>3475</v>
      </c>
      <c r="M12" s="51">
        <v>0</v>
      </c>
      <c r="N12" s="128">
        <v>509</v>
      </c>
      <c r="O12" s="54">
        <v>830</v>
      </c>
      <c r="P12" s="93">
        <v>10368</v>
      </c>
      <c r="Q12" s="7">
        <v>286</v>
      </c>
      <c r="R12" s="46">
        <v>142</v>
      </c>
      <c r="S12" s="19">
        <v>0</v>
      </c>
      <c r="T12" s="58">
        <v>0</v>
      </c>
      <c r="U12" s="53">
        <v>0</v>
      </c>
      <c r="V12" s="19">
        <v>0</v>
      </c>
      <c r="W12" s="19">
        <v>1738</v>
      </c>
      <c r="X12" s="19">
        <v>10</v>
      </c>
      <c r="Y12" s="19">
        <v>0</v>
      </c>
      <c r="Z12" s="10">
        <v>192</v>
      </c>
      <c r="AA12" s="19">
        <v>692</v>
      </c>
      <c r="AB12" s="58">
        <v>40</v>
      </c>
      <c r="AC12" s="52">
        <v>2089.6999999999998</v>
      </c>
      <c r="AD12" s="7">
        <v>0</v>
      </c>
      <c r="AE12" s="47">
        <v>1443.9</v>
      </c>
      <c r="AF12" s="103">
        <f t="shared" si="0"/>
        <v>56.815226999999993</v>
      </c>
      <c r="AG12" s="104">
        <f t="shared" si="1"/>
        <v>12.19</v>
      </c>
      <c r="AH12" s="105">
        <f t="shared" si="2"/>
        <v>26.401221999999997</v>
      </c>
      <c r="AI12" s="71">
        <f t="shared" si="3"/>
        <v>95.406448999999981</v>
      </c>
      <c r="AW12" s="31"/>
    </row>
    <row r="13" spans="1:53" x14ac:dyDescent="0.25">
      <c r="A13" s="124" t="s">
        <v>6</v>
      </c>
      <c r="B13" s="46">
        <v>8832</v>
      </c>
      <c r="C13" s="3">
        <v>960</v>
      </c>
      <c r="D13" s="3">
        <v>0</v>
      </c>
      <c r="E13" s="3">
        <v>2595</v>
      </c>
      <c r="F13" s="7">
        <v>0</v>
      </c>
      <c r="G13" s="54">
        <v>11520</v>
      </c>
      <c r="H13" s="81">
        <v>24384</v>
      </c>
      <c r="I13" s="7">
        <v>487</v>
      </c>
      <c r="J13" s="10">
        <v>9792</v>
      </c>
      <c r="K13" s="10">
        <v>2016</v>
      </c>
      <c r="L13" s="3">
        <v>1598</v>
      </c>
      <c r="M13" s="51">
        <v>0</v>
      </c>
      <c r="N13" s="128">
        <v>115</v>
      </c>
      <c r="O13" s="54">
        <v>106</v>
      </c>
      <c r="P13" s="93">
        <v>8064</v>
      </c>
      <c r="Q13" s="7">
        <v>18</v>
      </c>
      <c r="R13" s="46">
        <v>145</v>
      </c>
      <c r="S13" s="19">
        <v>0</v>
      </c>
      <c r="T13" s="58">
        <v>0</v>
      </c>
      <c r="U13" s="53">
        <v>0</v>
      </c>
      <c r="V13" s="19">
        <v>0</v>
      </c>
      <c r="W13" s="19">
        <v>1572</v>
      </c>
      <c r="X13" s="19">
        <v>10</v>
      </c>
      <c r="Y13" s="19">
        <v>0</v>
      </c>
      <c r="Z13" s="10">
        <v>192</v>
      </c>
      <c r="AA13" s="19">
        <v>633</v>
      </c>
      <c r="AB13" s="58">
        <v>38</v>
      </c>
      <c r="AC13" s="52">
        <v>2665.9</v>
      </c>
      <c r="AD13" s="7">
        <v>0</v>
      </c>
      <c r="AE13" s="62">
        <v>1680.4</v>
      </c>
      <c r="AF13" s="103">
        <f t="shared" si="0"/>
        <v>51.233461999999996</v>
      </c>
      <c r="AG13" s="104">
        <f t="shared" si="1"/>
        <v>3.2383000000000002</v>
      </c>
      <c r="AH13" s="105">
        <f t="shared" si="2"/>
        <v>32.035511999999997</v>
      </c>
      <c r="AI13" s="71">
        <f t="shared" si="3"/>
        <v>86.507273999999995</v>
      </c>
      <c r="AW13" s="31"/>
    </row>
    <row r="14" spans="1:53" x14ac:dyDescent="0.25">
      <c r="A14" s="124" t="s">
        <v>7</v>
      </c>
      <c r="B14" s="46">
        <v>9216</v>
      </c>
      <c r="C14" s="3">
        <v>0</v>
      </c>
      <c r="D14" s="3">
        <v>0</v>
      </c>
      <c r="E14" s="3">
        <v>2159</v>
      </c>
      <c r="F14" s="7">
        <v>0</v>
      </c>
      <c r="G14" s="54">
        <v>11232</v>
      </c>
      <c r="H14" s="81">
        <v>12096</v>
      </c>
      <c r="I14" s="7">
        <v>39</v>
      </c>
      <c r="J14" s="10">
        <v>8640</v>
      </c>
      <c r="K14" s="10">
        <v>1728</v>
      </c>
      <c r="L14" s="3">
        <v>629</v>
      </c>
      <c r="M14" s="51">
        <v>0</v>
      </c>
      <c r="N14" s="128">
        <v>65</v>
      </c>
      <c r="O14" s="54">
        <v>0</v>
      </c>
      <c r="P14" s="93">
        <v>6912</v>
      </c>
      <c r="Q14" s="7">
        <v>4</v>
      </c>
      <c r="R14" s="46">
        <v>138</v>
      </c>
      <c r="S14" s="19">
        <v>0</v>
      </c>
      <c r="T14" s="58">
        <v>0</v>
      </c>
      <c r="U14" s="53">
        <v>0</v>
      </c>
      <c r="V14" s="19">
        <v>0</v>
      </c>
      <c r="W14" s="19">
        <v>1685</v>
      </c>
      <c r="X14" s="19">
        <v>10</v>
      </c>
      <c r="Y14" s="19">
        <v>0</v>
      </c>
      <c r="Z14" s="10">
        <v>192</v>
      </c>
      <c r="AA14" s="19">
        <v>682</v>
      </c>
      <c r="AB14" s="58">
        <v>39</v>
      </c>
      <c r="AC14" s="52">
        <v>1668.6</v>
      </c>
      <c r="AD14" s="7">
        <v>0</v>
      </c>
      <c r="AE14" s="47">
        <v>2141.5</v>
      </c>
      <c r="AF14" s="103">
        <f t="shared" si="0"/>
        <v>39.184061</v>
      </c>
      <c r="AG14" s="104">
        <f t="shared" si="1"/>
        <v>0.22789999999999999</v>
      </c>
      <c r="AH14" s="105">
        <f t="shared" si="2"/>
        <v>31.144629999999999</v>
      </c>
      <c r="AI14" s="71">
        <f t="shared" si="3"/>
        <v>70.556590999999997</v>
      </c>
      <c r="AW14" s="31"/>
    </row>
    <row r="15" spans="1:53" x14ac:dyDescent="0.25">
      <c r="A15" s="124" t="s">
        <v>8</v>
      </c>
      <c r="B15" s="46">
        <v>10752</v>
      </c>
      <c r="C15" s="3">
        <v>3360</v>
      </c>
      <c r="D15" s="3">
        <v>0</v>
      </c>
      <c r="E15" s="3">
        <v>2578</v>
      </c>
      <c r="F15" s="7">
        <v>0</v>
      </c>
      <c r="G15" s="54">
        <v>13536</v>
      </c>
      <c r="H15" s="81">
        <v>4224</v>
      </c>
      <c r="I15" s="7">
        <v>107</v>
      </c>
      <c r="J15" s="10">
        <v>9216</v>
      </c>
      <c r="K15" s="10">
        <v>2016</v>
      </c>
      <c r="L15" s="3">
        <v>1232</v>
      </c>
      <c r="M15" s="51">
        <v>0</v>
      </c>
      <c r="N15" s="128">
        <v>77</v>
      </c>
      <c r="O15" s="54">
        <v>0</v>
      </c>
      <c r="P15" s="93">
        <v>6912</v>
      </c>
      <c r="Q15" s="7">
        <v>4</v>
      </c>
      <c r="R15" s="46">
        <v>149</v>
      </c>
      <c r="S15" s="19">
        <v>288</v>
      </c>
      <c r="T15" s="58">
        <v>0</v>
      </c>
      <c r="U15" s="53">
        <v>0</v>
      </c>
      <c r="V15" s="19">
        <v>0</v>
      </c>
      <c r="W15" s="19">
        <v>2135</v>
      </c>
      <c r="X15" s="19">
        <v>10</v>
      </c>
      <c r="Y15" s="19">
        <v>0</v>
      </c>
      <c r="Z15" s="10">
        <v>192</v>
      </c>
      <c r="AA15" s="19">
        <v>843</v>
      </c>
      <c r="AB15" s="58">
        <v>38</v>
      </c>
      <c r="AC15" s="52">
        <v>1893.2</v>
      </c>
      <c r="AD15" s="7">
        <v>0</v>
      </c>
      <c r="AE15" s="47">
        <v>3310.9</v>
      </c>
      <c r="AF15" s="103">
        <f t="shared" si="0"/>
        <v>40.693505999999999</v>
      </c>
      <c r="AG15" s="104">
        <f t="shared" si="1"/>
        <v>0.58830000000000005</v>
      </c>
      <c r="AH15" s="105">
        <f t="shared" si="2"/>
        <v>44.306882000000002</v>
      </c>
      <c r="AI15" s="71">
        <f t="shared" si="3"/>
        <v>85.588687999999991</v>
      </c>
      <c r="AW15" s="31"/>
    </row>
    <row r="16" spans="1:53" ht="15.75" thickBot="1" x14ac:dyDescent="0.3">
      <c r="A16" s="124" t="s">
        <v>9</v>
      </c>
      <c r="B16" s="46">
        <v>9408</v>
      </c>
      <c r="C16" s="3">
        <v>3840</v>
      </c>
      <c r="D16" s="3">
        <v>2</v>
      </c>
      <c r="E16" s="3">
        <v>2424</v>
      </c>
      <c r="F16" s="7">
        <v>80</v>
      </c>
      <c r="G16" s="54">
        <v>12384</v>
      </c>
      <c r="H16" s="81">
        <v>9408</v>
      </c>
      <c r="I16" s="7">
        <v>131</v>
      </c>
      <c r="J16" s="10">
        <v>9600</v>
      </c>
      <c r="K16" s="10">
        <v>2016</v>
      </c>
      <c r="L16" s="3">
        <v>1532</v>
      </c>
      <c r="M16" s="51">
        <v>0</v>
      </c>
      <c r="N16" s="128">
        <v>2696</v>
      </c>
      <c r="O16" s="54">
        <v>615</v>
      </c>
      <c r="P16" s="93">
        <v>8064</v>
      </c>
      <c r="Q16" s="7">
        <v>3</v>
      </c>
      <c r="R16" s="46">
        <v>152</v>
      </c>
      <c r="S16" s="19">
        <v>1152</v>
      </c>
      <c r="T16" s="58">
        <v>0</v>
      </c>
      <c r="U16" s="53">
        <v>0</v>
      </c>
      <c r="V16" s="19">
        <v>0</v>
      </c>
      <c r="W16" s="19">
        <v>2411</v>
      </c>
      <c r="X16" s="19">
        <v>10</v>
      </c>
      <c r="Y16" s="19">
        <v>0</v>
      </c>
      <c r="Z16" s="10">
        <v>192</v>
      </c>
      <c r="AA16" s="19">
        <v>914</v>
      </c>
      <c r="AB16" s="58">
        <v>36</v>
      </c>
      <c r="AC16" s="52">
        <v>2316.6</v>
      </c>
      <c r="AD16" s="7">
        <v>0</v>
      </c>
      <c r="AE16" s="47">
        <v>4645</v>
      </c>
      <c r="AF16" s="103">
        <f t="shared" si="0"/>
        <v>46.832386999999997</v>
      </c>
      <c r="AG16" s="104">
        <f t="shared" si="1"/>
        <v>4.3936999999999999</v>
      </c>
      <c r="AH16" s="105">
        <f t="shared" si="2"/>
        <v>60.259059999999998</v>
      </c>
      <c r="AI16" s="71">
        <f t="shared" si="3"/>
        <v>111.485147</v>
      </c>
      <c r="AK16" s="36" t="s">
        <v>109</v>
      </c>
      <c r="AL16" s="36"/>
      <c r="AM16" s="94"/>
      <c r="AW16" s="31"/>
    </row>
    <row r="17" spans="1:54" ht="15.75" thickBot="1" x14ac:dyDescent="0.3">
      <c r="A17" s="124" t="s">
        <v>10</v>
      </c>
      <c r="B17" s="46">
        <v>8064</v>
      </c>
      <c r="C17" s="3">
        <v>2400</v>
      </c>
      <c r="D17" s="3">
        <v>36</v>
      </c>
      <c r="E17" s="3">
        <v>2790</v>
      </c>
      <c r="F17" s="7">
        <v>1560</v>
      </c>
      <c r="G17" s="54">
        <v>16992</v>
      </c>
      <c r="H17" s="81">
        <v>8640</v>
      </c>
      <c r="I17" s="7">
        <v>374</v>
      </c>
      <c r="J17" s="10">
        <v>8832</v>
      </c>
      <c r="K17" s="10">
        <v>2016</v>
      </c>
      <c r="L17" s="3">
        <v>2649</v>
      </c>
      <c r="M17" s="51">
        <v>0</v>
      </c>
      <c r="N17" s="128">
        <v>901</v>
      </c>
      <c r="O17" s="54">
        <v>1445</v>
      </c>
      <c r="P17" s="93">
        <v>8064</v>
      </c>
      <c r="Q17" s="7">
        <v>155</v>
      </c>
      <c r="R17" s="46">
        <v>164</v>
      </c>
      <c r="S17" s="19">
        <v>1440</v>
      </c>
      <c r="T17" s="58">
        <v>0</v>
      </c>
      <c r="U17" s="53">
        <v>0</v>
      </c>
      <c r="V17" s="19">
        <v>0</v>
      </c>
      <c r="W17" s="19">
        <v>2340</v>
      </c>
      <c r="X17" s="19">
        <v>10</v>
      </c>
      <c r="Y17" s="19">
        <v>0</v>
      </c>
      <c r="Z17" s="10">
        <v>192</v>
      </c>
      <c r="AA17" s="19">
        <v>1032</v>
      </c>
      <c r="AB17" s="58">
        <v>33</v>
      </c>
      <c r="AC17" s="52">
        <v>1402.3</v>
      </c>
      <c r="AD17" s="7">
        <v>3439.9</v>
      </c>
      <c r="AE17" s="47">
        <v>223.8</v>
      </c>
      <c r="AF17" s="103">
        <f t="shared" si="0"/>
        <v>47.082664999999999</v>
      </c>
      <c r="AG17" s="104">
        <f t="shared" si="1"/>
        <v>18.7302</v>
      </c>
      <c r="AH17" s="105">
        <f t="shared" si="2"/>
        <v>45.3179011</v>
      </c>
      <c r="AI17" s="71">
        <f t="shared" si="3"/>
        <v>111.1307661</v>
      </c>
      <c r="AK17" s="101" t="s">
        <v>17</v>
      </c>
      <c r="AL17" s="121" t="s">
        <v>108</v>
      </c>
      <c r="AM17" s="102" t="s">
        <v>110</v>
      </c>
      <c r="AW17" s="31"/>
    </row>
    <row r="18" spans="1:54" x14ac:dyDescent="0.25">
      <c r="A18" s="124" t="s">
        <v>11</v>
      </c>
      <c r="B18" s="46">
        <v>9984</v>
      </c>
      <c r="C18" s="3">
        <v>6720</v>
      </c>
      <c r="D18" s="3">
        <v>18</v>
      </c>
      <c r="E18" s="3">
        <v>5038</v>
      </c>
      <c r="F18" s="7">
        <v>1606</v>
      </c>
      <c r="G18" s="54">
        <v>17568</v>
      </c>
      <c r="H18" s="81">
        <v>3840</v>
      </c>
      <c r="I18" s="7">
        <v>634</v>
      </c>
      <c r="J18" s="10">
        <v>12480</v>
      </c>
      <c r="K18" s="10">
        <v>2016</v>
      </c>
      <c r="L18" s="3">
        <v>6945</v>
      </c>
      <c r="M18" s="51">
        <v>0</v>
      </c>
      <c r="N18" s="128">
        <v>1277</v>
      </c>
      <c r="O18" s="54">
        <v>1611</v>
      </c>
      <c r="P18" s="93">
        <v>9984</v>
      </c>
      <c r="Q18" s="7">
        <v>165</v>
      </c>
      <c r="R18" s="46">
        <v>2742</v>
      </c>
      <c r="S18" s="19">
        <v>0</v>
      </c>
      <c r="T18" s="58">
        <v>0</v>
      </c>
      <c r="U18" s="53">
        <v>0</v>
      </c>
      <c r="V18" s="19">
        <v>0</v>
      </c>
      <c r="W18" s="19">
        <v>3433</v>
      </c>
      <c r="X18" s="19">
        <v>10</v>
      </c>
      <c r="Y18" s="19">
        <v>0</v>
      </c>
      <c r="Z18" s="10">
        <v>192</v>
      </c>
      <c r="AA18" s="19">
        <v>1589</v>
      </c>
      <c r="AB18" s="58">
        <v>41</v>
      </c>
      <c r="AC18" s="52">
        <v>2957.4</v>
      </c>
      <c r="AD18" s="7">
        <v>2712.1</v>
      </c>
      <c r="AE18" s="47">
        <v>192.5</v>
      </c>
      <c r="AF18" s="103">
        <f t="shared" si="0"/>
        <v>59.301038999999996</v>
      </c>
      <c r="AG18" s="104">
        <f t="shared" si="1"/>
        <v>21.284800000000001</v>
      </c>
      <c r="AH18" s="105">
        <f t="shared" si="2"/>
        <v>46.263160900000003</v>
      </c>
      <c r="AI18" s="71">
        <f t="shared" si="3"/>
        <v>126.8489999</v>
      </c>
      <c r="AK18" s="97" t="s">
        <v>104</v>
      </c>
      <c r="AL18" s="95">
        <v>242859</v>
      </c>
      <c r="AM18" s="108" t="s">
        <v>18</v>
      </c>
      <c r="AW18" s="31"/>
    </row>
    <row r="19" spans="1:54" x14ac:dyDescent="0.25">
      <c r="A19" s="125" t="s">
        <v>14</v>
      </c>
      <c r="B19" s="88">
        <f t="shared" ref="B19:AH19" si="4">SUM(B7:B18)</f>
        <v>115392</v>
      </c>
      <c r="C19" s="89">
        <f t="shared" ref="C19" si="5">SUM(C7:C18)</f>
        <v>22080</v>
      </c>
      <c r="D19" s="89">
        <f t="shared" si="4"/>
        <v>107</v>
      </c>
      <c r="E19" s="89">
        <f>SUM(E7:E18)</f>
        <v>50266</v>
      </c>
      <c r="F19" s="89">
        <f>SUM(F7:F18)</f>
        <v>10136</v>
      </c>
      <c r="G19" s="90">
        <f>SUM(G7:G18)</f>
        <v>155808</v>
      </c>
      <c r="H19" s="91">
        <f t="shared" si="4"/>
        <v>205840</v>
      </c>
      <c r="I19" s="89">
        <f>SUM(I7:I18)</f>
        <v>9889</v>
      </c>
      <c r="J19" s="89">
        <f t="shared" ref="J19" si="6">SUM(J7:J18)</f>
        <v>138816</v>
      </c>
      <c r="K19" s="89">
        <f t="shared" ref="K19" si="7">SUM(K7:K18)</f>
        <v>25056</v>
      </c>
      <c r="L19" s="89">
        <f t="shared" si="4"/>
        <v>56337</v>
      </c>
      <c r="M19" s="90">
        <f>SUM(M7:M18)</f>
        <v>220</v>
      </c>
      <c r="N19" s="91">
        <f>SUM(N7:N18)</f>
        <v>14150</v>
      </c>
      <c r="O19" s="90">
        <f t="shared" si="4"/>
        <v>14068</v>
      </c>
      <c r="P19" s="88">
        <f>SUM(P7:P18)</f>
        <v>104832</v>
      </c>
      <c r="Q19" s="89">
        <f>SUM(Q7:Q18)</f>
        <v>3752</v>
      </c>
      <c r="R19" s="88">
        <f>SUM(R7:R18)</f>
        <v>9720</v>
      </c>
      <c r="S19" s="89">
        <f t="shared" ref="S19" si="8">SUM(S7:S18)</f>
        <v>2880</v>
      </c>
      <c r="T19" s="90">
        <f>SUM(T7:T18)</f>
        <v>0</v>
      </c>
      <c r="U19" s="88">
        <f t="shared" ref="U19:X19" si="9">SUM(U7:U18)</f>
        <v>0</v>
      </c>
      <c r="V19" s="89">
        <f t="shared" si="9"/>
        <v>0</v>
      </c>
      <c r="W19" s="89">
        <f t="shared" si="9"/>
        <v>28285</v>
      </c>
      <c r="X19" s="89">
        <f t="shared" si="9"/>
        <v>135</v>
      </c>
      <c r="Y19" s="89">
        <f>SUM(Y7:Y18)</f>
        <v>0</v>
      </c>
      <c r="Z19" s="89">
        <f>SUM(Z7:Z18)</f>
        <v>2496</v>
      </c>
      <c r="AA19" s="89">
        <f t="shared" ref="AA19" si="10">SUM(AA7:AA18)</f>
        <v>11808</v>
      </c>
      <c r="AB19" s="90">
        <f>SUM(AB7:AB18)</f>
        <v>441</v>
      </c>
      <c r="AC19" s="88">
        <f>SUM(AC7:AC18)</f>
        <v>30546.5</v>
      </c>
      <c r="AD19" s="89">
        <f>SUM(AD7:AD18)</f>
        <v>10896.300000000001</v>
      </c>
      <c r="AE19" s="90">
        <f>SUM(AE7:AE18)</f>
        <v>18987.399999999998</v>
      </c>
      <c r="AF19" s="106">
        <f>SUM(AF7:AF18)</f>
        <v>667.72544299999993</v>
      </c>
      <c r="AG19" s="107">
        <f t="shared" si="4"/>
        <v>201.74450000000002</v>
      </c>
      <c r="AH19" s="107">
        <f t="shared" si="4"/>
        <v>475.81038469999999</v>
      </c>
      <c r="AI19" s="92">
        <f>SUM(AI7:AI18)</f>
        <v>1345.2803277000003</v>
      </c>
      <c r="AK19" s="98" t="s">
        <v>105</v>
      </c>
      <c r="AL19" s="96">
        <v>563028</v>
      </c>
      <c r="AM19" s="109" t="s">
        <v>18</v>
      </c>
      <c r="AW19" s="31"/>
    </row>
    <row r="20" spans="1:54" ht="15.75" thickBot="1" x14ac:dyDescent="0.3">
      <c r="A20" s="126" t="s">
        <v>41</v>
      </c>
      <c r="B20" s="48">
        <f t="shared" ref="B20:Z20" si="11">7.07*10^-4</f>
        <v>7.0700000000000005E-4</v>
      </c>
      <c r="C20" s="4">
        <f t="shared" si="11"/>
        <v>7.0700000000000005E-4</v>
      </c>
      <c r="D20" s="4">
        <f t="shared" si="11"/>
        <v>7.0700000000000005E-4</v>
      </c>
      <c r="E20" s="4">
        <f t="shared" si="11"/>
        <v>7.0700000000000005E-4</v>
      </c>
      <c r="F20" s="5">
        <v>5.3E-3</v>
      </c>
      <c r="G20" s="59">
        <f>7.07*10^-4</f>
        <v>7.0700000000000005E-4</v>
      </c>
      <c r="H20" s="82">
        <f t="shared" si="11"/>
        <v>7.0700000000000005E-4</v>
      </c>
      <c r="I20" s="5">
        <v>5.3E-3</v>
      </c>
      <c r="J20" s="4">
        <f t="shared" si="11"/>
        <v>7.0700000000000005E-4</v>
      </c>
      <c r="K20" s="4">
        <f t="shared" si="11"/>
        <v>7.0700000000000005E-4</v>
      </c>
      <c r="L20" s="4">
        <f t="shared" si="11"/>
        <v>7.0700000000000005E-4</v>
      </c>
      <c r="M20" s="49">
        <v>5.3E-3</v>
      </c>
      <c r="N20" s="82">
        <f t="shared" ref="N20:AB20" si="12">7.07*10^-4</f>
        <v>7.0700000000000005E-4</v>
      </c>
      <c r="O20" s="49">
        <v>5.3E-3</v>
      </c>
      <c r="P20" s="48">
        <f>7.07*10^-4</f>
        <v>7.0700000000000005E-4</v>
      </c>
      <c r="Q20" s="5">
        <v>5.3E-3</v>
      </c>
      <c r="R20" s="48">
        <f t="shared" si="11"/>
        <v>7.0700000000000005E-4</v>
      </c>
      <c r="S20" s="4">
        <f t="shared" si="12"/>
        <v>7.0700000000000005E-4</v>
      </c>
      <c r="T20" s="59">
        <f t="shared" si="12"/>
        <v>7.0700000000000005E-4</v>
      </c>
      <c r="U20" s="48">
        <f t="shared" ref="U20:X20" si="13">7.07*10^-4</f>
        <v>7.0700000000000005E-4</v>
      </c>
      <c r="V20" s="4">
        <f t="shared" si="13"/>
        <v>7.0700000000000005E-4</v>
      </c>
      <c r="W20" s="4">
        <f t="shared" si="13"/>
        <v>7.0700000000000005E-4</v>
      </c>
      <c r="X20" s="4">
        <f t="shared" si="13"/>
        <v>7.0700000000000005E-4</v>
      </c>
      <c r="Y20" s="4">
        <f t="shared" si="12"/>
        <v>7.0700000000000005E-4</v>
      </c>
      <c r="Z20" s="4">
        <f t="shared" si="11"/>
        <v>7.0700000000000005E-4</v>
      </c>
      <c r="AA20" s="4">
        <f t="shared" si="12"/>
        <v>7.0700000000000005E-4</v>
      </c>
      <c r="AB20" s="59">
        <f t="shared" si="12"/>
        <v>7.0700000000000005E-4</v>
      </c>
      <c r="AC20" s="63">
        <v>5.5999999999999999E-3</v>
      </c>
      <c r="AD20" s="5">
        <f>0.010229</f>
        <v>1.0229E-2</v>
      </c>
      <c r="AE20" s="64">
        <f>10.18*10^-3</f>
        <v>1.018E-2</v>
      </c>
      <c r="AF20" s="47">
        <v>1</v>
      </c>
      <c r="AG20" s="83">
        <v>1</v>
      </c>
      <c r="AH20" s="73">
        <v>1</v>
      </c>
      <c r="AI20" s="72">
        <v>1</v>
      </c>
      <c r="AK20" s="53" t="s">
        <v>106</v>
      </c>
      <c r="AL20" s="96">
        <v>164928</v>
      </c>
      <c r="AM20" s="110" t="s">
        <v>18</v>
      </c>
      <c r="AW20" s="27"/>
    </row>
    <row r="21" spans="1:54" ht="16.899999999999999" customHeight="1" thickBot="1" x14ac:dyDescent="0.3">
      <c r="A21" s="127" t="s">
        <v>23</v>
      </c>
      <c r="B21" s="84">
        <f t="shared" ref="B21" si="14">B19*B20</f>
        <v>81.582144</v>
      </c>
      <c r="C21" s="85">
        <f t="shared" ref="C21" si="15">C19*C20</f>
        <v>15.610560000000001</v>
      </c>
      <c r="D21" s="85">
        <f>D19*D20</f>
        <v>7.5649000000000008E-2</v>
      </c>
      <c r="E21" s="85">
        <f>E19*E20</f>
        <v>35.538062000000004</v>
      </c>
      <c r="F21" s="85">
        <f>F19*F20</f>
        <v>53.720799999999997</v>
      </c>
      <c r="G21" s="86">
        <f>G19*G20</f>
        <v>110.15625600000001</v>
      </c>
      <c r="H21" s="87">
        <f t="shared" ref="H21" si="16">H19*H20</f>
        <v>145.52888000000002</v>
      </c>
      <c r="I21" s="85">
        <f>I19*I20</f>
        <v>52.411700000000003</v>
      </c>
      <c r="J21" s="85">
        <f t="shared" ref="J21" si="17">J19*J20</f>
        <v>98.14291200000001</v>
      </c>
      <c r="K21" s="85">
        <f t="shared" ref="K21" si="18">K19*K20</f>
        <v>17.714592</v>
      </c>
      <c r="L21" s="85">
        <f t="shared" ref="L21:T21" si="19">L19*L20</f>
        <v>39.830259000000005</v>
      </c>
      <c r="M21" s="86">
        <f t="shared" si="19"/>
        <v>1.1659999999999999</v>
      </c>
      <c r="N21" s="87">
        <f t="shared" si="19"/>
        <v>10.004050000000001</v>
      </c>
      <c r="O21" s="86">
        <f t="shared" si="19"/>
        <v>74.560400000000001</v>
      </c>
      <c r="P21" s="84">
        <f t="shared" si="19"/>
        <v>74.116224000000003</v>
      </c>
      <c r="Q21" s="85">
        <f t="shared" si="19"/>
        <v>19.8856</v>
      </c>
      <c r="R21" s="84">
        <f t="shared" si="19"/>
        <v>6.8720400000000001</v>
      </c>
      <c r="S21" s="85">
        <f t="shared" si="19"/>
        <v>2.0361600000000002</v>
      </c>
      <c r="T21" s="86">
        <f t="shared" si="19"/>
        <v>0</v>
      </c>
      <c r="U21" s="84">
        <f t="shared" ref="U21:X21" si="20">U19*U20</f>
        <v>0</v>
      </c>
      <c r="V21" s="85">
        <f t="shared" si="20"/>
        <v>0</v>
      </c>
      <c r="W21" s="85">
        <f t="shared" si="20"/>
        <v>19.997495000000001</v>
      </c>
      <c r="X21" s="85">
        <f t="shared" si="20"/>
        <v>9.5445000000000002E-2</v>
      </c>
      <c r="Y21" s="85">
        <f t="shared" ref="Y21:AF21" si="21">Y19*Y20</f>
        <v>0</v>
      </c>
      <c r="Z21" s="85">
        <f t="shared" si="21"/>
        <v>1.7646720000000002</v>
      </c>
      <c r="AA21" s="85">
        <f t="shared" si="21"/>
        <v>8.348256000000001</v>
      </c>
      <c r="AB21" s="86">
        <f t="shared" si="21"/>
        <v>0.31178700000000004</v>
      </c>
      <c r="AC21" s="84">
        <f t="shared" si="21"/>
        <v>171.06039999999999</v>
      </c>
      <c r="AD21" s="85">
        <f t="shared" si="21"/>
        <v>111.45825270000002</v>
      </c>
      <c r="AE21" s="86">
        <f t="shared" si="21"/>
        <v>193.29173199999997</v>
      </c>
      <c r="AF21" s="84">
        <f t="shared" si="21"/>
        <v>667.72544299999993</v>
      </c>
      <c r="AG21" s="85">
        <f t="shared" ref="AG21:AH21" si="22">AG19*AG20</f>
        <v>201.74450000000002</v>
      </c>
      <c r="AH21" s="85">
        <f t="shared" si="22"/>
        <v>475.81038469999999</v>
      </c>
      <c r="AI21" s="74">
        <f>SUM(AF21,AG21,AH21)</f>
        <v>1345.2803276999998</v>
      </c>
      <c r="AK21" s="99" t="s">
        <v>107</v>
      </c>
      <c r="AL21" s="100">
        <f>SUM(AL18,AL19,AL20)</f>
        <v>970815</v>
      </c>
      <c r="AM21" s="114">
        <f>(AI21*2204.62/AL21)</f>
        <v>3.0549918532923095</v>
      </c>
      <c r="AW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13"/>
    </row>
    <row r="23" spans="1:54" x14ac:dyDescent="0.25">
      <c r="B23" s="12" t="s">
        <v>123</v>
      </c>
      <c r="F23" s="35" t="s">
        <v>22</v>
      </c>
      <c r="Q23" t="s">
        <v>137</v>
      </c>
      <c r="AY23" s="13"/>
    </row>
    <row r="24" spans="1:54" ht="15.6" customHeight="1" x14ac:dyDescent="0.25">
      <c r="B24" t="s">
        <v>124</v>
      </c>
      <c r="F24" s="75" t="s">
        <v>125</v>
      </c>
      <c r="H24" s="75"/>
      <c r="I24" s="75"/>
      <c r="Q24" s="12" t="s">
        <v>120</v>
      </c>
      <c r="AY24" s="13"/>
    </row>
    <row r="25" spans="1:54" x14ac:dyDescent="0.25">
      <c r="L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13"/>
    </row>
    <row r="26" spans="1:54" x14ac:dyDescent="0.25"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13"/>
      <c r="Q27" s="20"/>
      <c r="R27" s="9"/>
      <c r="S27" s="13"/>
      <c r="T27" s="13"/>
      <c r="U27" s="12"/>
      <c r="V27" s="12"/>
      <c r="W27" s="12"/>
      <c r="X27" s="12"/>
      <c r="Y27" s="12"/>
      <c r="Z27" s="12"/>
    </row>
    <row r="28" spans="1:54" x14ac:dyDescent="0.25">
      <c r="P28" s="13"/>
      <c r="Q28" s="20"/>
      <c r="R28" s="9"/>
      <c r="S28" s="13"/>
      <c r="T28" s="13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9">
    <mergeCell ref="N1:O1"/>
    <mergeCell ref="P1:Q1"/>
    <mergeCell ref="B1:G1"/>
    <mergeCell ref="H1:M1"/>
    <mergeCell ref="AM1:AW1"/>
    <mergeCell ref="U1:AB1"/>
    <mergeCell ref="AC1:AE1"/>
    <mergeCell ref="AF1:AI1"/>
    <mergeCell ref="R1:T1"/>
  </mergeCells>
  <hyperlinks>
    <hyperlink ref="F24" r:id="rId1"/>
    <hyperlink ref="F23" r:id="rId2"/>
  </hyperlinks>
  <pageMargins left="0.7" right="0.7" top="0.75" bottom="0.75" header="0.3" footer="0.3"/>
  <pageSetup paperSize="17" orientation="landscape" r:id="rId3"/>
  <headerFooter>
    <oddHeader>&amp;L&amp;"-,Bold"&amp;14Duluth Seaway Port Authority&amp;C&amp;"-,Bold"&amp;14Green Marine Greenhouse Gas Emisions &amp;R&amp;"-,Bold"&amp;14 2015</oddHead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WhiteSpace="0" view="pageLayout" topLeftCell="Y1" zoomScaleNormal="100" workbookViewId="0">
      <selection activeCell="P19" sqref="P19"/>
    </sheetView>
  </sheetViews>
  <sheetFormatPr defaultRowHeight="15" x14ac:dyDescent="0.25"/>
  <cols>
    <col min="1" max="1" width="20.28515625" bestFit="1" customWidth="1"/>
    <col min="2" max="2" width="11.7109375" customWidth="1"/>
    <col min="3" max="3" width="15.28515625" bestFit="1" customWidth="1"/>
    <col min="4" max="4" width="12.7109375" customWidth="1"/>
    <col min="5" max="5" width="15.28515625" bestFit="1" customWidth="1"/>
    <col min="6" max="6" width="14.28515625" customWidth="1"/>
    <col min="7" max="7" width="14.85546875" customWidth="1"/>
    <col min="8" max="8" width="14.140625" customWidth="1"/>
    <col min="9" max="9" width="13.7109375" customWidth="1"/>
    <col min="10" max="10" width="14.28515625" customWidth="1"/>
    <col min="11" max="11" width="15.28515625" bestFit="1" customWidth="1"/>
    <col min="12" max="12" width="11.7109375" bestFit="1" customWidth="1"/>
    <col min="13" max="13" width="15.28515625" bestFit="1" customWidth="1"/>
    <col min="14" max="14" width="14.28515625" customWidth="1"/>
    <col min="15" max="15" width="14.710937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8" width="13.85546875" customWidth="1"/>
    <col min="29" max="29" width="14.5703125" customWidth="1"/>
    <col min="30" max="30" width="14.7109375" customWidth="1"/>
    <col min="31" max="31" width="16.42578125" customWidth="1"/>
    <col min="32" max="32" width="15" bestFit="1" customWidth="1"/>
    <col min="33" max="33" width="15.7109375" customWidth="1"/>
    <col min="34" max="34" width="17.140625" customWidth="1"/>
    <col min="35" max="35" width="15" bestFit="1" customWidth="1"/>
    <col min="36" max="36" width="15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3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80"/>
      <c r="H1" s="179" t="s">
        <v>126</v>
      </c>
      <c r="I1" s="179"/>
      <c r="J1" s="179"/>
      <c r="K1" s="179"/>
      <c r="L1" s="179"/>
      <c r="M1" s="180"/>
      <c r="N1" s="179" t="s">
        <v>47</v>
      </c>
      <c r="O1" s="179"/>
      <c r="P1" s="178" t="s">
        <v>90</v>
      </c>
      <c r="Q1" s="180"/>
      <c r="R1" s="178" t="s">
        <v>19</v>
      </c>
      <c r="S1" s="179"/>
      <c r="T1" s="180"/>
      <c r="U1" s="178" t="s">
        <v>92</v>
      </c>
      <c r="V1" s="179"/>
      <c r="W1" s="179"/>
      <c r="X1" s="179"/>
      <c r="Y1" s="179"/>
      <c r="Z1" s="179"/>
      <c r="AA1" s="179"/>
      <c r="AB1" s="180"/>
      <c r="AC1" s="178" t="s">
        <v>129</v>
      </c>
      <c r="AD1" s="179"/>
      <c r="AE1" s="180"/>
      <c r="AF1" s="178" t="s">
        <v>93</v>
      </c>
      <c r="AG1" s="179"/>
      <c r="AH1" s="179"/>
      <c r="AI1" s="180"/>
      <c r="AJ1" s="130"/>
      <c r="AK1" s="130"/>
      <c r="AL1" s="130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30"/>
      <c r="AY1" s="39"/>
      <c r="AZ1" s="12"/>
      <c r="BA1" s="12"/>
    </row>
    <row r="2" spans="1:53" ht="78" customHeight="1" x14ac:dyDescent="0.25">
      <c r="A2" s="155" t="s">
        <v>156</v>
      </c>
      <c r="B2" s="40" t="s">
        <v>121</v>
      </c>
      <c r="C2" s="24" t="s">
        <v>83</v>
      </c>
      <c r="D2" s="24" t="s">
        <v>82</v>
      </c>
      <c r="E2" s="24" t="s">
        <v>122</v>
      </c>
      <c r="F2" s="25" t="s">
        <v>122</v>
      </c>
      <c r="G2" s="56" t="s">
        <v>12</v>
      </c>
      <c r="H2" s="77" t="s">
        <v>13</v>
      </c>
      <c r="I2" s="25" t="s">
        <v>13</v>
      </c>
      <c r="J2" s="24" t="s">
        <v>20</v>
      </c>
      <c r="K2" s="24" t="s">
        <v>99</v>
      </c>
      <c r="L2" s="24" t="s">
        <v>21</v>
      </c>
      <c r="M2" s="41" t="s">
        <v>21</v>
      </c>
      <c r="N2" s="77" t="s">
        <v>47</v>
      </c>
      <c r="O2" s="41" t="s">
        <v>25</v>
      </c>
      <c r="P2" s="40" t="s">
        <v>90</v>
      </c>
      <c r="Q2" s="25" t="s">
        <v>90</v>
      </c>
      <c r="R2" s="40" t="s">
        <v>19</v>
      </c>
      <c r="S2" s="24" t="s">
        <v>84</v>
      </c>
      <c r="T2" s="56" t="s">
        <v>85</v>
      </c>
      <c r="U2" s="40" t="s">
        <v>86</v>
      </c>
      <c r="V2" s="24" t="s">
        <v>87</v>
      </c>
      <c r="W2" s="24" t="s">
        <v>94</v>
      </c>
      <c r="X2" s="24" t="s">
        <v>88</v>
      </c>
      <c r="Y2" s="24" t="s">
        <v>89</v>
      </c>
      <c r="Z2" s="24" t="s">
        <v>100</v>
      </c>
      <c r="AA2" s="24" t="s">
        <v>46</v>
      </c>
      <c r="AB2" s="56" t="s">
        <v>91</v>
      </c>
      <c r="AC2" s="133" t="s">
        <v>148</v>
      </c>
      <c r="AD2" s="37" t="s">
        <v>145</v>
      </c>
      <c r="AE2" s="60" t="s">
        <v>146</v>
      </c>
      <c r="AF2" s="40" t="s">
        <v>95</v>
      </c>
      <c r="AG2" s="25" t="s">
        <v>111</v>
      </c>
      <c r="AH2" s="37" t="s">
        <v>147</v>
      </c>
      <c r="AI2" s="65" t="s">
        <v>96</v>
      </c>
      <c r="AQ2" s="12"/>
      <c r="AR2" s="94"/>
      <c r="AT2" s="94"/>
      <c r="AW2" s="28"/>
    </row>
    <row r="3" spans="1:53" x14ac:dyDescent="0.25">
      <c r="A3" s="152" t="s">
        <v>155</v>
      </c>
      <c r="B3" s="42" t="s">
        <v>42</v>
      </c>
      <c r="C3" s="6" t="s">
        <v>42</v>
      </c>
      <c r="D3" s="6" t="s">
        <v>42</v>
      </c>
      <c r="E3" s="6" t="s">
        <v>42</v>
      </c>
      <c r="F3" s="6" t="s">
        <v>42</v>
      </c>
      <c r="G3" s="43" t="s">
        <v>42</v>
      </c>
      <c r="H3" s="78" t="s">
        <v>42</v>
      </c>
      <c r="I3" s="6" t="s">
        <v>42</v>
      </c>
      <c r="J3" s="6" t="s">
        <v>42</v>
      </c>
      <c r="K3" s="6" t="s">
        <v>42</v>
      </c>
      <c r="L3" s="6" t="s">
        <v>42</v>
      </c>
      <c r="M3" s="43" t="s">
        <v>42</v>
      </c>
      <c r="N3" s="78" t="s">
        <v>43</v>
      </c>
      <c r="O3" s="43" t="s">
        <v>42</v>
      </c>
      <c r="P3" s="42" t="s">
        <v>43</v>
      </c>
      <c r="Q3" s="6" t="s">
        <v>43</v>
      </c>
      <c r="R3" s="42" t="s">
        <v>42</v>
      </c>
      <c r="S3" s="6" t="s">
        <v>43</v>
      </c>
      <c r="T3" s="43" t="s">
        <v>43</v>
      </c>
      <c r="U3" s="42" t="s">
        <v>43</v>
      </c>
      <c r="V3" s="6" t="s">
        <v>43</v>
      </c>
      <c r="W3" s="6" t="s">
        <v>43</v>
      </c>
      <c r="X3" s="6" t="s">
        <v>43</v>
      </c>
      <c r="Y3" s="6" t="s">
        <v>43</v>
      </c>
      <c r="Z3" s="6" t="s">
        <v>42</v>
      </c>
      <c r="AA3" s="6" t="s">
        <v>43</v>
      </c>
      <c r="AB3" s="43" t="s">
        <v>43</v>
      </c>
      <c r="AC3" s="78" t="s">
        <v>42</v>
      </c>
      <c r="AD3" s="6" t="s">
        <v>42</v>
      </c>
      <c r="AE3" s="43" t="s">
        <v>42</v>
      </c>
      <c r="AF3" s="66" t="s">
        <v>97</v>
      </c>
      <c r="AG3" s="11" t="s">
        <v>97</v>
      </c>
      <c r="AH3" s="21" t="s">
        <v>97</v>
      </c>
      <c r="AI3" s="67" t="s">
        <v>97</v>
      </c>
      <c r="AN3" s="94"/>
      <c r="AP3" s="33"/>
      <c r="AQ3" s="33"/>
      <c r="AW3" s="28"/>
    </row>
    <row r="4" spans="1:53" ht="90" x14ac:dyDescent="0.25">
      <c r="A4" s="153" t="s">
        <v>119</v>
      </c>
      <c r="B4" s="44" t="s">
        <v>36</v>
      </c>
      <c r="C4" s="15" t="s">
        <v>78</v>
      </c>
      <c r="D4" s="15" t="s">
        <v>81</v>
      </c>
      <c r="E4" s="15" t="s">
        <v>76</v>
      </c>
      <c r="F4" s="15" t="s">
        <v>28</v>
      </c>
      <c r="G4" s="50" t="s">
        <v>35</v>
      </c>
      <c r="H4" s="79" t="s">
        <v>34</v>
      </c>
      <c r="I4" s="15" t="s">
        <v>32</v>
      </c>
      <c r="J4" s="16" t="s">
        <v>72</v>
      </c>
      <c r="K4" s="16" t="s">
        <v>68</v>
      </c>
      <c r="L4" s="15" t="s">
        <v>71</v>
      </c>
      <c r="M4" s="50" t="s">
        <v>29</v>
      </c>
      <c r="N4" s="111" t="s">
        <v>50</v>
      </c>
      <c r="O4" s="50" t="s">
        <v>27</v>
      </c>
      <c r="P4" s="112" t="s">
        <v>135</v>
      </c>
      <c r="Q4" s="15" t="s">
        <v>135</v>
      </c>
      <c r="R4" s="44" t="s">
        <v>24</v>
      </c>
      <c r="S4" s="15" t="s">
        <v>59</v>
      </c>
      <c r="T4" s="50" t="s">
        <v>58</v>
      </c>
      <c r="U4" s="44" t="s">
        <v>56</v>
      </c>
      <c r="V4" s="15" t="s">
        <v>52</v>
      </c>
      <c r="W4" s="15" t="s">
        <v>62</v>
      </c>
      <c r="X4" s="15" t="s">
        <v>65</v>
      </c>
      <c r="Y4" s="15" t="s">
        <v>64</v>
      </c>
      <c r="Z4" s="16" t="s">
        <v>74</v>
      </c>
      <c r="AA4" s="15" t="s">
        <v>51</v>
      </c>
      <c r="AB4" s="50" t="s">
        <v>57</v>
      </c>
      <c r="AC4" s="111" t="s">
        <v>142</v>
      </c>
      <c r="AD4" s="15" t="s">
        <v>143</v>
      </c>
      <c r="AE4" s="50" t="s">
        <v>144</v>
      </c>
      <c r="AF4" s="68" t="s">
        <v>45</v>
      </c>
      <c r="AG4" s="17" t="s">
        <v>40</v>
      </c>
      <c r="AH4" s="22" t="s">
        <v>116</v>
      </c>
      <c r="AI4" s="69" t="s">
        <v>18</v>
      </c>
      <c r="AN4" s="14"/>
      <c r="AP4" s="14"/>
      <c r="AQ4" s="14"/>
      <c r="AW4" s="29"/>
    </row>
    <row r="5" spans="1:53" ht="30" x14ac:dyDescent="0.25">
      <c r="A5" s="154" t="s">
        <v>152</v>
      </c>
      <c r="B5" s="44" t="s">
        <v>37</v>
      </c>
      <c r="C5" s="15" t="s">
        <v>80</v>
      </c>
      <c r="D5" s="15" t="s">
        <v>79</v>
      </c>
      <c r="E5" s="15" t="s">
        <v>77</v>
      </c>
      <c r="F5" s="15" t="s">
        <v>30</v>
      </c>
      <c r="G5" s="50" t="s">
        <v>101</v>
      </c>
      <c r="H5" s="79" t="s">
        <v>38</v>
      </c>
      <c r="I5" s="15" t="s">
        <v>33</v>
      </c>
      <c r="J5" s="16" t="s">
        <v>73</v>
      </c>
      <c r="K5" s="16" t="s">
        <v>70</v>
      </c>
      <c r="L5" s="15" t="s">
        <v>69</v>
      </c>
      <c r="M5" s="50" t="s">
        <v>31</v>
      </c>
      <c r="N5" s="111" t="s">
        <v>48</v>
      </c>
      <c r="O5" s="50" t="s">
        <v>39</v>
      </c>
      <c r="P5" s="44" t="s">
        <v>136</v>
      </c>
      <c r="Q5" s="15" t="s">
        <v>134</v>
      </c>
      <c r="R5" s="44" t="s">
        <v>26</v>
      </c>
      <c r="S5" s="15" t="s">
        <v>61</v>
      </c>
      <c r="T5" s="50" t="s">
        <v>60</v>
      </c>
      <c r="U5" s="44" t="s">
        <v>55</v>
      </c>
      <c r="V5" s="15" t="s">
        <v>53</v>
      </c>
      <c r="W5" s="15" t="s">
        <v>63</v>
      </c>
      <c r="X5" s="15" t="s">
        <v>67</v>
      </c>
      <c r="Y5" s="15" t="s">
        <v>66</v>
      </c>
      <c r="Z5" s="16" t="s">
        <v>75</v>
      </c>
      <c r="AA5" s="15" t="s">
        <v>49</v>
      </c>
      <c r="AB5" s="50" t="s">
        <v>54</v>
      </c>
      <c r="AC5" s="111" t="s">
        <v>151</v>
      </c>
      <c r="AD5" s="15" t="s">
        <v>150</v>
      </c>
      <c r="AE5" s="50" t="s">
        <v>153</v>
      </c>
      <c r="AF5" s="68" t="s">
        <v>18</v>
      </c>
      <c r="AG5" s="17" t="s">
        <v>18</v>
      </c>
      <c r="AH5" s="22" t="s">
        <v>18</v>
      </c>
      <c r="AI5" s="69" t="s">
        <v>18</v>
      </c>
      <c r="AN5" s="94"/>
      <c r="AP5" s="94"/>
      <c r="AQ5" s="94"/>
      <c r="AS5" s="94"/>
      <c r="AT5" s="94"/>
      <c r="AU5" s="94"/>
      <c r="AV5" s="94"/>
      <c r="AW5" s="29"/>
    </row>
    <row r="6" spans="1:53" x14ac:dyDescent="0.25">
      <c r="A6" s="156" t="s">
        <v>102</v>
      </c>
      <c r="B6" s="45" t="s">
        <v>15</v>
      </c>
      <c r="C6" s="1" t="s">
        <v>15</v>
      </c>
      <c r="D6" s="1" t="s">
        <v>15</v>
      </c>
      <c r="E6" s="1" t="s">
        <v>15</v>
      </c>
      <c r="F6" s="18" t="s">
        <v>103</v>
      </c>
      <c r="G6" s="57" t="s">
        <v>15</v>
      </c>
      <c r="H6" s="80" t="s">
        <v>15</v>
      </c>
      <c r="I6" s="18" t="s">
        <v>103</v>
      </c>
      <c r="J6" s="1" t="s">
        <v>15</v>
      </c>
      <c r="K6" s="1" t="s">
        <v>15</v>
      </c>
      <c r="L6" s="1" t="s">
        <v>15</v>
      </c>
      <c r="M6" s="129" t="s">
        <v>103</v>
      </c>
      <c r="N6" s="80" t="s">
        <v>15</v>
      </c>
      <c r="O6" s="76" t="s">
        <v>103</v>
      </c>
      <c r="P6" s="45" t="s">
        <v>15</v>
      </c>
      <c r="Q6" s="76" t="s">
        <v>103</v>
      </c>
      <c r="R6" s="45" t="s">
        <v>15</v>
      </c>
      <c r="S6" s="1" t="s">
        <v>15</v>
      </c>
      <c r="T6" s="57" t="s">
        <v>15</v>
      </c>
      <c r="U6" s="45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15</v>
      </c>
      <c r="AA6" s="1" t="s">
        <v>15</v>
      </c>
      <c r="AB6" s="57" t="s">
        <v>15</v>
      </c>
      <c r="AC6" s="23" t="s">
        <v>16</v>
      </c>
      <c r="AD6" s="23" t="s">
        <v>16</v>
      </c>
      <c r="AE6" s="55" t="s">
        <v>16</v>
      </c>
      <c r="AF6" s="45" t="s">
        <v>98</v>
      </c>
      <c r="AG6" s="18" t="s">
        <v>98</v>
      </c>
      <c r="AH6" s="23" t="s">
        <v>98</v>
      </c>
      <c r="AI6" s="70" t="s">
        <v>98</v>
      </c>
      <c r="AN6" s="34"/>
      <c r="AQ6" s="94"/>
      <c r="AR6" s="94"/>
      <c r="AS6" s="94"/>
      <c r="AT6" s="94"/>
      <c r="AU6" s="94"/>
      <c r="AV6" s="94"/>
      <c r="AW6" s="30"/>
    </row>
    <row r="7" spans="1:53" x14ac:dyDescent="0.25">
      <c r="A7" s="126" t="s">
        <v>0</v>
      </c>
      <c r="B7" s="46">
        <v>11328</v>
      </c>
      <c r="C7" s="3">
        <v>3360</v>
      </c>
      <c r="D7" s="3">
        <v>0</v>
      </c>
      <c r="E7" s="3">
        <v>5440</v>
      </c>
      <c r="F7" s="7">
        <v>1413</v>
      </c>
      <c r="G7" s="54">
        <v>17856</v>
      </c>
      <c r="H7" s="81">
        <v>8064</v>
      </c>
      <c r="I7" s="7">
        <v>826</v>
      </c>
      <c r="J7" s="10">
        <v>15744</v>
      </c>
      <c r="K7" s="10">
        <v>2016</v>
      </c>
      <c r="L7" s="3">
        <v>8731</v>
      </c>
      <c r="M7" s="51">
        <v>0</v>
      </c>
      <c r="N7" s="128">
        <v>2538</v>
      </c>
      <c r="O7" s="54">
        <v>2112</v>
      </c>
      <c r="P7" s="93">
        <v>4680</v>
      </c>
      <c r="Q7" s="7">
        <v>966</v>
      </c>
      <c r="R7" s="46">
        <v>2933</v>
      </c>
      <c r="S7" s="93">
        <v>0</v>
      </c>
      <c r="T7" s="58">
        <v>0</v>
      </c>
      <c r="U7" s="53">
        <v>0</v>
      </c>
      <c r="V7" s="93">
        <v>0</v>
      </c>
      <c r="W7" s="93">
        <v>904</v>
      </c>
      <c r="X7" s="93">
        <v>11</v>
      </c>
      <c r="Y7" s="93">
        <v>0</v>
      </c>
      <c r="Z7" s="10">
        <v>192</v>
      </c>
      <c r="AA7" s="93">
        <v>1557</v>
      </c>
      <c r="AB7" s="58">
        <v>37</v>
      </c>
      <c r="AC7" s="52">
        <v>2677</v>
      </c>
      <c r="AD7" s="7">
        <v>2568</v>
      </c>
      <c r="AE7" s="61">
        <v>314</v>
      </c>
      <c r="AF7" s="103">
        <f>SUM(G7,B7,E7,C7,D7,H7,J7,K7,L7,N7,P7,R7,S7,T7,U7,V7,W7,X7,Y7,Z7,AA7,AB7)*0.000707</f>
        <v>60.371436999999993</v>
      </c>
      <c r="AG7" s="104">
        <f t="shared" ref="AG7:AG18" si="0">SUM(F7,I7,M7,O7,Q7)*0.0053</f>
        <v>28.180099999999999</v>
      </c>
      <c r="AH7" s="105">
        <f>SUM(AC7*AC$20,AD7*AD$20,AE7*AE$20)</f>
        <v>44.455791999999995</v>
      </c>
      <c r="AI7" s="71">
        <f>SUM(AF7,AG7,AH7)</f>
        <v>133.007329</v>
      </c>
      <c r="AN7" s="12"/>
      <c r="AQ7" s="12"/>
      <c r="AR7" s="12"/>
      <c r="AS7" s="12"/>
      <c r="AT7" s="12"/>
      <c r="AU7" s="12"/>
      <c r="AV7" s="12"/>
      <c r="AW7" s="31"/>
    </row>
    <row r="8" spans="1:53" ht="14.45" customHeight="1" x14ac:dyDescent="0.25">
      <c r="A8" s="126" t="s">
        <v>1</v>
      </c>
      <c r="B8" s="46">
        <v>11136</v>
      </c>
      <c r="C8" s="3">
        <v>480</v>
      </c>
      <c r="D8" s="3">
        <v>0</v>
      </c>
      <c r="E8" s="3">
        <v>2988</v>
      </c>
      <c r="F8" s="7">
        <v>596</v>
      </c>
      <c r="G8" s="54">
        <v>19008</v>
      </c>
      <c r="H8" s="81">
        <v>11712</v>
      </c>
      <c r="I8" s="7">
        <v>873</v>
      </c>
      <c r="J8" s="10">
        <v>17644</v>
      </c>
      <c r="K8" s="10">
        <v>2304</v>
      </c>
      <c r="L8" s="3">
        <v>10069</v>
      </c>
      <c r="M8" s="51">
        <v>0</v>
      </c>
      <c r="N8" s="128">
        <v>2277</v>
      </c>
      <c r="O8" s="54">
        <v>1809</v>
      </c>
      <c r="P8" s="93">
        <v>4920</v>
      </c>
      <c r="Q8" s="7">
        <v>884</v>
      </c>
      <c r="R8" s="46">
        <v>1793</v>
      </c>
      <c r="S8" s="93">
        <v>576</v>
      </c>
      <c r="T8" s="58">
        <v>0</v>
      </c>
      <c r="U8" s="53">
        <v>0</v>
      </c>
      <c r="V8" s="93">
        <v>0</v>
      </c>
      <c r="W8" s="93">
        <v>5</v>
      </c>
      <c r="X8" s="93">
        <v>11</v>
      </c>
      <c r="Y8" s="93">
        <v>0</v>
      </c>
      <c r="Z8" s="10">
        <v>192</v>
      </c>
      <c r="AA8" s="93">
        <v>1527</v>
      </c>
      <c r="AB8" s="58">
        <v>36</v>
      </c>
      <c r="AC8" s="52">
        <v>2199</v>
      </c>
      <c r="AD8" s="7">
        <v>1592</v>
      </c>
      <c r="AE8" s="61">
        <v>410</v>
      </c>
      <c r="AF8" s="103">
        <f t="shared" ref="AF8:AF18" si="1">SUM(G8,B8,E8,C8,D8,H8,J8,K8,L8,N8,P8,R8,S8,T8,U8,V8,W8,X8,Y8,Z8,AA8,AB8)*0.000707</f>
        <v>61.281345999999992</v>
      </c>
      <c r="AG8" s="104">
        <f t="shared" si="0"/>
        <v>22.058599999999998</v>
      </c>
      <c r="AH8" s="105">
        <f t="shared" ref="AH8:AH18" si="2">SUM(AC8*AC$20,AD8*AD$20,AE8*AE$20)</f>
        <v>32.772767999999999</v>
      </c>
      <c r="AI8" s="71">
        <f t="shared" ref="AI8:AI18" si="3">SUM(AF8,AG8,AH8)</f>
        <v>116.112714</v>
      </c>
      <c r="AW8" s="31"/>
    </row>
    <row r="9" spans="1:53" x14ac:dyDescent="0.25">
      <c r="A9" s="124" t="s">
        <v>2</v>
      </c>
      <c r="B9" s="46">
        <v>11520</v>
      </c>
      <c r="C9" s="3">
        <v>0</v>
      </c>
      <c r="D9" s="3">
        <v>0</v>
      </c>
      <c r="E9" s="3">
        <v>2070</v>
      </c>
      <c r="F9" s="7">
        <v>41</v>
      </c>
      <c r="G9" s="54">
        <v>17280</v>
      </c>
      <c r="H9" s="81">
        <v>12864</v>
      </c>
      <c r="I9" s="7">
        <v>933</v>
      </c>
      <c r="J9" s="10">
        <v>18048</v>
      </c>
      <c r="K9" s="10">
        <v>2016</v>
      </c>
      <c r="L9" s="3">
        <v>10238</v>
      </c>
      <c r="M9" s="51">
        <v>0</v>
      </c>
      <c r="N9" s="128">
        <v>1391</v>
      </c>
      <c r="O9" s="54">
        <v>2195</v>
      </c>
      <c r="P9" s="93">
        <v>4680</v>
      </c>
      <c r="Q9" s="7">
        <v>963</v>
      </c>
      <c r="R9" s="46">
        <v>1787</v>
      </c>
      <c r="S9" s="93">
        <v>864</v>
      </c>
      <c r="T9" s="58">
        <v>0</v>
      </c>
      <c r="U9" s="53">
        <v>0</v>
      </c>
      <c r="V9" s="93">
        <v>0</v>
      </c>
      <c r="W9" s="93">
        <v>3</v>
      </c>
      <c r="X9" s="93">
        <v>9</v>
      </c>
      <c r="Y9" s="93">
        <v>0</v>
      </c>
      <c r="Z9" s="10">
        <v>192</v>
      </c>
      <c r="AA9" s="93">
        <v>1212</v>
      </c>
      <c r="AB9" s="58">
        <v>33</v>
      </c>
      <c r="AC9" s="52">
        <v>1683</v>
      </c>
      <c r="AD9" s="7">
        <v>0</v>
      </c>
      <c r="AE9" s="61">
        <v>174</v>
      </c>
      <c r="AF9" s="103">
        <f t="shared" si="1"/>
        <v>59.534348999999999</v>
      </c>
      <c r="AG9" s="104">
        <f t="shared" si="0"/>
        <v>21.8996</v>
      </c>
      <c r="AH9" s="105">
        <f t="shared" si="2"/>
        <v>11.196119999999999</v>
      </c>
      <c r="AI9" s="71">
        <f t="shared" si="3"/>
        <v>92.630068999999992</v>
      </c>
      <c r="AW9" s="31"/>
    </row>
    <row r="10" spans="1:53" x14ac:dyDescent="0.25">
      <c r="A10" s="124" t="s">
        <v>3</v>
      </c>
      <c r="B10" s="46">
        <v>19008</v>
      </c>
      <c r="C10" s="3">
        <v>0</v>
      </c>
      <c r="D10" s="3">
        <v>0</v>
      </c>
      <c r="E10" s="3">
        <v>3602</v>
      </c>
      <c r="F10" s="7">
        <v>2</v>
      </c>
      <c r="G10" s="54">
        <v>30240</v>
      </c>
      <c r="H10" s="81">
        <v>22272</v>
      </c>
      <c r="I10" s="7">
        <v>674</v>
      </c>
      <c r="J10" s="10">
        <v>30336</v>
      </c>
      <c r="K10" s="10">
        <v>4032</v>
      </c>
      <c r="L10" s="3">
        <v>8232</v>
      </c>
      <c r="M10" s="51">
        <v>0</v>
      </c>
      <c r="N10" s="128">
        <v>1342</v>
      </c>
      <c r="O10" s="54">
        <v>1148</v>
      </c>
      <c r="P10" s="93">
        <v>5280</v>
      </c>
      <c r="Q10" s="7">
        <v>607</v>
      </c>
      <c r="R10" s="46">
        <v>1376</v>
      </c>
      <c r="S10" s="93">
        <v>864</v>
      </c>
      <c r="T10" s="58">
        <v>0</v>
      </c>
      <c r="U10" s="53">
        <v>0</v>
      </c>
      <c r="V10" s="93">
        <v>0</v>
      </c>
      <c r="W10" s="93">
        <v>0</v>
      </c>
      <c r="X10" s="93">
        <v>11</v>
      </c>
      <c r="Y10" s="93">
        <v>0</v>
      </c>
      <c r="Z10" s="10">
        <v>384</v>
      </c>
      <c r="AA10" s="93">
        <v>1206</v>
      </c>
      <c r="AB10" s="58">
        <v>33</v>
      </c>
      <c r="AC10" s="52">
        <v>1983</v>
      </c>
      <c r="AD10" s="7">
        <v>0</v>
      </c>
      <c r="AE10" s="61">
        <v>208</v>
      </c>
      <c r="AF10" s="103">
        <f t="shared" si="1"/>
        <v>90.650126</v>
      </c>
      <c r="AG10" s="104">
        <f t="shared" si="0"/>
        <v>12.8843</v>
      </c>
      <c r="AH10" s="105">
        <f t="shared" si="2"/>
        <v>13.222239999999999</v>
      </c>
      <c r="AI10" s="71">
        <f t="shared" si="3"/>
        <v>116.756666</v>
      </c>
      <c r="AL10" s="12"/>
      <c r="AM10" s="12"/>
      <c r="AW10" s="31"/>
    </row>
    <row r="11" spans="1:53" x14ac:dyDescent="0.25">
      <c r="A11" s="124" t="s">
        <v>4</v>
      </c>
      <c r="B11" s="46">
        <v>6336</v>
      </c>
      <c r="C11" s="3">
        <v>0</v>
      </c>
      <c r="D11" s="3">
        <v>0</v>
      </c>
      <c r="E11" s="3">
        <v>1375</v>
      </c>
      <c r="F11" s="7">
        <v>3</v>
      </c>
      <c r="G11" s="54">
        <v>10080</v>
      </c>
      <c r="H11" s="81">
        <v>3840</v>
      </c>
      <c r="I11" s="7">
        <v>358</v>
      </c>
      <c r="J11" s="10">
        <v>11136</v>
      </c>
      <c r="K11" s="10">
        <v>1728</v>
      </c>
      <c r="L11" s="3">
        <v>5655</v>
      </c>
      <c r="M11" s="51">
        <v>0</v>
      </c>
      <c r="N11" s="128">
        <v>1135</v>
      </c>
      <c r="O11" s="54">
        <v>747</v>
      </c>
      <c r="P11" s="93">
        <v>4560</v>
      </c>
      <c r="Q11" s="7">
        <v>443</v>
      </c>
      <c r="R11" s="46">
        <v>518</v>
      </c>
      <c r="S11" s="93">
        <v>576</v>
      </c>
      <c r="T11" s="58">
        <v>0</v>
      </c>
      <c r="U11" s="53">
        <v>0</v>
      </c>
      <c r="V11" s="93">
        <v>0</v>
      </c>
      <c r="W11" s="93">
        <v>1</v>
      </c>
      <c r="X11" s="93">
        <v>11</v>
      </c>
      <c r="Y11" s="93">
        <v>0</v>
      </c>
      <c r="Z11" s="10">
        <v>192</v>
      </c>
      <c r="AA11" s="93">
        <v>965</v>
      </c>
      <c r="AB11" s="58">
        <v>32</v>
      </c>
      <c r="AC11" s="52">
        <v>1740</v>
      </c>
      <c r="AD11" s="7">
        <v>0</v>
      </c>
      <c r="AE11" s="61">
        <v>160</v>
      </c>
      <c r="AF11" s="103">
        <f t="shared" si="1"/>
        <v>34.034979999999997</v>
      </c>
      <c r="AG11" s="104">
        <f t="shared" si="0"/>
        <v>8.2202999999999999</v>
      </c>
      <c r="AH11" s="105">
        <f t="shared" si="2"/>
        <v>11.3728</v>
      </c>
      <c r="AI11" s="71">
        <f t="shared" si="3"/>
        <v>53.628079999999997</v>
      </c>
      <c r="AW11" s="31"/>
    </row>
    <row r="12" spans="1:53" x14ac:dyDescent="0.25">
      <c r="A12" s="124" t="s">
        <v>5</v>
      </c>
      <c r="B12" s="46">
        <v>1920</v>
      </c>
      <c r="C12" s="3">
        <v>0</v>
      </c>
      <c r="D12" s="3">
        <v>0</v>
      </c>
      <c r="E12" s="3">
        <v>367</v>
      </c>
      <c r="F12" s="7">
        <v>33</v>
      </c>
      <c r="G12" s="54">
        <v>2880</v>
      </c>
      <c r="H12" s="81">
        <v>1536</v>
      </c>
      <c r="I12" s="7">
        <v>111</v>
      </c>
      <c r="J12" s="10">
        <v>2496</v>
      </c>
      <c r="K12" s="10">
        <v>288</v>
      </c>
      <c r="L12" s="3">
        <v>5506</v>
      </c>
      <c r="M12" s="51">
        <v>0</v>
      </c>
      <c r="N12" s="128">
        <v>672</v>
      </c>
      <c r="O12" s="54">
        <v>383</v>
      </c>
      <c r="P12" s="93">
        <v>4920</v>
      </c>
      <c r="Q12" s="7">
        <v>226</v>
      </c>
      <c r="R12" s="46">
        <v>336</v>
      </c>
      <c r="S12" s="93">
        <v>576</v>
      </c>
      <c r="T12" s="58">
        <v>0</v>
      </c>
      <c r="U12" s="53">
        <v>0</v>
      </c>
      <c r="V12" s="93">
        <v>0</v>
      </c>
      <c r="W12" s="93">
        <v>0</v>
      </c>
      <c r="X12" s="93">
        <v>10</v>
      </c>
      <c r="Y12" s="93">
        <v>0</v>
      </c>
      <c r="Z12" s="10">
        <v>192</v>
      </c>
      <c r="AA12" s="93">
        <v>861</v>
      </c>
      <c r="AB12" s="58">
        <v>34</v>
      </c>
      <c r="AC12" s="52">
        <v>1820</v>
      </c>
      <c r="AD12" s="7">
        <v>0</v>
      </c>
      <c r="AE12" s="47">
        <v>142</v>
      </c>
      <c r="AF12" s="103">
        <f t="shared" si="1"/>
        <v>15.973958</v>
      </c>
      <c r="AG12" s="104">
        <f t="shared" si="0"/>
        <v>3.9908999999999999</v>
      </c>
      <c r="AH12" s="105">
        <f t="shared" si="2"/>
        <v>11.637560000000001</v>
      </c>
      <c r="AI12" s="71">
        <f t="shared" si="3"/>
        <v>31.602418</v>
      </c>
      <c r="AW12" s="31"/>
    </row>
    <row r="13" spans="1:53" x14ac:dyDescent="0.25">
      <c r="A13" s="124" t="s">
        <v>6</v>
      </c>
      <c r="B13" s="46">
        <v>8448</v>
      </c>
      <c r="C13" s="3">
        <v>1920</v>
      </c>
      <c r="D13" s="3">
        <v>0</v>
      </c>
      <c r="E13" s="3">
        <v>2203</v>
      </c>
      <c r="F13" s="7">
        <v>531</v>
      </c>
      <c r="G13" s="54">
        <v>11808</v>
      </c>
      <c r="H13" s="81">
        <v>7680</v>
      </c>
      <c r="I13" s="7">
        <v>0</v>
      </c>
      <c r="J13" s="10">
        <v>11328</v>
      </c>
      <c r="K13" s="10">
        <v>2016</v>
      </c>
      <c r="L13" s="3">
        <v>1593</v>
      </c>
      <c r="M13" s="51">
        <v>0</v>
      </c>
      <c r="N13" s="128">
        <v>137</v>
      </c>
      <c r="O13" s="54">
        <v>84</v>
      </c>
      <c r="P13" s="93">
        <v>6960</v>
      </c>
      <c r="Q13" s="7">
        <v>72</v>
      </c>
      <c r="R13" s="46">
        <v>803</v>
      </c>
      <c r="S13" s="93">
        <v>576</v>
      </c>
      <c r="T13" s="58">
        <v>0</v>
      </c>
      <c r="U13" s="53">
        <v>0</v>
      </c>
      <c r="V13" s="93">
        <v>0</v>
      </c>
      <c r="W13" s="93">
        <v>1</v>
      </c>
      <c r="X13" s="93">
        <v>10</v>
      </c>
      <c r="Y13" s="93">
        <v>0</v>
      </c>
      <c r="Z13" s="10">
        <v>0</v>
      </c>
      <c r="AA13" s="93">
        <v>783</v>
      </c>
      <c r="AB13" s="58">
        <v>33</v>
      </c>
      <c r="AC13" s="52">
        <v>2903</v>
      </c>
      <c r="AD13" s="7">
        <v>0</v>
      </c>
      <c r="AE13" s="62">
        <v>238</v>
      </c>
      <c r="AF13" s="103">
        <f t="shared" si="1"/>
        <v>39.803393</v>
      </c>
      <c r="AG13" s="104">
        <f t="shared" si="0"/>
        <v>3.6411000000000002</v>
      </c>
      <c r="AH13" s="105">
        <f t="shared" si="2"/>
        <v>18.679639999999999</v>
      </c>
      <c r="AI13" s="71">
        <f t="shared" si="3"/>
        <v>62.124133</v>
      </c>
      <c r="AW13" s="31"/>
    </row>
    <row r="14" spans="1:53" x14ac:dyDescent="0.25">
      <c r="A14" s="124" t="s">
        <v>7</v>
      </c>
      <c r="B14" s="46">
        <v>9984</v>
      </c>
      <c r="C14" s="3">
        <v>1440</v>
      </c>
      <c r="D14" s="3">
        <v>0</v>
      </c>
      <c r="E14" s="3">
        <v>2062</v>
      </c>
      <c r="F14" s="7">
        <v>1392</v>
      </c>
      <c r="G14" s="54">
        <v>12096</v>
      </c>
      <c r="H14" s="81">
        <v>8832</v>
      </c>
      <c r="I14" s="7">
        <v>0</v>
      </c>
      <c r="J14" s="10">
        <v>10386</v>
      </c>
      <c r="K14" s="10">
        <v>1728</v>
      </c>
      <c r="L14" s="3">
        <v>1068</v>
      </c>
      <c r="M14" s="51">
        <v>0</v>
      </c>
      <c r="N14" s="128">
        <v>48</v>
      </c>
      <c r="O14" s="54">
        <v>11</v>
      </c>
      <c r="P14" s="93">
        <v>7800</v>
      </c>
      <c r="Q14" s="7">
        <v>54</v>
      </c>
      <c r="R14" s="46">
        <v>2407</v>
      </c>
      <c r="S14" s="93">
        <v>288</v>
      </c>
      <c r="T14" s="58">
        <v>0</v>
      </c>
      <c r="U14" s="53">
        <v>0</v>
      </c>
      <c r="V14" s="93">
        <v>0</v>
      </c>
      <c r="W14" s="93">
        <v>0</v>
      </c>
      <c r="X14" s="93">
        <v>10</v>
      </c>
      <c r="Y14" s="93">
        <v>0</v>
      </c>
      <c r="Z14" s="10">
        <v>384</v>
      </c>
      <c r="AA14" s="93">
        <v>896</v>
      </c>
      <c r="AB14" s="58">
        <v>36</v>
      </c>
      <c r="AC14" s="52">
        <v>2294</v>
      </c>
      <c r="AD14" s="7">
        <v>0</v>
      </c>
      <c r="AE14" s="47">
        <v>0</v>
      </c>
      <c r="AF14" s="103">
        <f t="shared" si="1"/>
        <v>42.041754999999995</v>
      </c>
      <c r="AG14" s="104">
        <f t="shared" si="0"/>
        <v>7.7221000000000002</v>
      </c>
      <c r="AH14" s="105">
        <f t="shared" si="2"/>
        <v>12.846399999999999</v>
      </c>
      <c r="AI14" s="71">
        <f t="shared" si="3"/>
        <v>62.610254999999995</v>
      </c>
      <c r="AW14" s="31"/>
    </row>
    <row r="15" spans="1:53" x14ac:dyDescent="0.25">
      <c r="A15" s="124" t="s">
        <v>8</v>
      </c>
      <c r="B15" s="46">
        <v>10176</v>
      </c>
      <c r="C15" s="3">
        <v>480</v>
      </c>
      <c r="D15" s="3">
        <v>0</v>
      </c>
      <c r="E15" s="3">
        <v>1791</v>
      </c>
      <c r="F15" s="7">
        <v>1794</v>
      </c>
      <c r="G15" s="54">
        <v>11232</v>
      </c>
      <c r="H15" s="81">
        <v>10176</v>
      </c>
      <c r="I15" s="7">
        <v>0</v>
      </c>
      <c r="J15" s="10">
        <v>9600</v>
      </c>
      <c r="K15" s="10">
        <v>1728</v>
      </c>
      <c r="L15" s="3">
        <v>991</v>
      </c>
      <c r="M15" s="51">
        <v>0</v>
      </c>
      <c r="N15" s="128">
        <v>49</v>
      </c>
      <c r="O15" s="54">
        <v>0</v>
      </c>
      <c r="P15" s="93">
        <v>8880</v>
      </c>
      <c r="Q15" s="7">
        <v>216</v>
      </c>
      <c r="R15" s="46">
        <v>1212</v>
      </c>
      <c r="S15" s="93">
        <v>0</v>
      </c>
      <c r="T15" s="58">
        <v>0</v>
      </c>
      <c r="U15" s="53">
        <v>0</v>
      </c>
      <c r="V15" s="93">
        <v>0</v>
      </c>
      <c r="W15" s="93">
        <v>1</v>
      </c>
      <c r="X15" s="93">
        <v>13</v>
      </c>
      <c r="Y15" s="93">
        <v>0</v>
      </c>
      <c r="Z15" s="10">
        <v>576</v>
      </c>
      <c r="AA15" s="93">
        <v>1028</v>
      </c>
      <c r="AB15" s="58">
        <v>37</v>
      </c>
      <c r="AC15" s="52">
        <v>1747</v>
      </c>
      <c r="AD15" s="7">
        <v>0</v>
      </c>
      <c r="AE15" s="47">
        <v>0</v>
      </c>
      <c r="AF15" s="103">
        <f t="shared" si="1"/>
        <v>40.984789999999997</v>
      </c>
      <c r="AG15" s="104">
        <f t="shared" si="0"/>
        <v>10.653</v>
      </c>
      <c r="AH15" s="105">
        <f t="shared" si="2"/>
        <v>9.7832000000000008</v>
      </c>
      <c r="AI15" s="71">
        <f t="shared" si="3"/>
        <v>61.420989999999996</v>
      </c>
      <c r="AW15" s="31"/>
    </row>
    <row r="16" spans="1:53" ht="15.75" thickBot="1" x14ac:dyDescent="0.3">
      <c r="A16" s="124" t="s">
        <v>9</v>
      </c>
      <c r="B16" s="46">
        <v>9600</v>
      </c>
      <c r="C16" s="3">
        <v>0</v>
      </c>
      <c r="D16" s="3">
        <v>0</v>
      </c>
      <c r="E16" s="3">
        <v>1471</v>
      </c>
      <c r="F16" s="7">
        <v>2310</v>
      </c>
      <c r="G16" s="54">
        <v>12096</v>
      </c>
      <c r="H16" s="81">
        <v>10752</v>
      </c>
      <c r="I16" s="7">
        <v>0</v>
      </c>
      <c r="J16" s="10">
        <v>11136</v>
      </c>
      <c r="K16" s="10">
        <v>1728</v>
      </c>
      <c r="L16" s="3">
        <v>1031</v>
      </c>
      <c r="M16" s="51">
        <v>0</v>
      </c>
      <c r="N16" s="128">
        <v>46</v>
      </c>
      <c r="O16" s="54">
        <v>7</v>
      </c>
      <c r="P16" s="93">
        <v>6720</v>
      </c>
      <c r="Q16" s="7">
        <v>226</v>
      </c>
      <c r="R16" s="46">
        <v>1648</v>
      </c>
      <c r="S16" s="93">
        <v>576</v>
      </c>
      <c r="T16" s="58">
        <v>0</v>
      </c>
      <c r="U16" s="53">
        <v>0</v>
      </c>
      <c r="V16" s="93">
        <v>0</v>
      </c>
      <c r="W16" s="93">
        <v>0</v>
      </c>
      <c r="X16" s="93">
        <v>43</v>
      </c>
      <c r="Y16" s="93">
        <v>0</v>
      </c>
      <c r="Z16" s="10">
        <v>384</v>
      </c>
      <c r="AA16" s="93">
        <v>1150</v>
      </c>
      <c r="AB16" s="58">
        <v>35</v>
      </c>
      <c r="AC16" s="52">
        <v>2672</v>
      </c>
      <c r="AD16" s="7">
        <v>0</v>
      </c>
      <c r="AE16" s="47">
        <v>961</v>
      </c>
      <c r="AF16" s="103">
        <f t="shared" si="1"/>
        <v>41.300111999999999</v>
      </c>
      <c r="AG16" s="104">
        <f t="shared" si="0"/>
        <v>13.4779</v>
      </c>
      <c r="AH16" s="105">
        <f t="shared" si="2"/>
        <v>24.746180000000003</v>
      </c>
      <c r="AI16" s="71">
        <f t="shared" si="3"/>
        <v>79.524191999999999</v>
      </c>
      <c r="AK16" s="36" t="s">
        <v>109</v>
      </c>
      <c r="AL16" s="36"/>
      <c r="AM16" s="94"/>
      <c r="AW16" s="31"/>
    </row>
    <row r="17" spans="1:54" ht="15.75" thickBot="1" x14ac:dyDescent="0.3">
      <c r="A17" s="124" t="s">
        <v>10</v>
      </c>
      <c r="B17" s="46">
        <v>8256</v>
      </c>
      <c r="C17" s="3">
        <v>480</v>
      </c>
      <c r="D17" s="3">
        <v>0</v>
      </c>
      <c r="E17" s="3">
        <v>1628</v>
      </c>
      <c r="F17" s="7">
        <v>1942</v>
      </c>
      <c r="G17" s="54">
        <v>12096</v>
      </c>
      <c r="H17" s="81">
        <v>10944</v>
      </c>
      <c r="I17" s="7">
        <v>106</v>
      </c>
      <c r="J17" s="10">
        <v>11136</v>
      </c>
      <c r="K17" s="10">
        <v>1728</v>
      </c>
      <c r="L17" s="3">
        <v>2364</v>
      </c>
      <c r="M17" s="51">
        <v>0</v>
      </c>
      <c r="N17" s="128">
        <v>269</v>
      </c>
      <c r="O17" s="54">
        <v>683</v>
      </c>
      <c r="P17" s="93">
        <v>5160</v>
      </c>
      <c r="Q17" s="7">
        <v>440</v>
      </c>
      <c r="R17" s="46">
        <v>1896</v>
      </c>
      <c r="S17" s="93">
        <v>576</v>
      </c>
      <c r="T17" s="58">
        <v>0</v>
      </c>
      <c r="U17" s="53">
        <v>0</v>
      </c>
      <c r="V17" s="93">
        <v>0</v>
      </c>
      <c r="W17" s="93">
        <v>1</v>
      </c>
      <c r="X17" s="93">
        <v>42</v>
      </c>
      <c r="Y17" s="93">
        <v>0</v>
      </c>
      <c r="Z17" s="10">
        <v>384</v>
      </c>
      <c r="AA17" s="93">
        <v>1356</v>
      </c>
      <c r="AB17" s="58">
        <v>33</v>
      </c>
      <c r="AC17" s="52">
        <v>1684</v>
      </c>
      <c r="AD17" s="7">
        <v>1111</v>
      </c>
      <c r="AE17" s="47">
        <v>145</v>
      </c>
      <c r="AF17" s="103">
        <f t="shared" si="1"/>
        <v>41.252742999999995</v>
      </c>
      <c r="AG17" s="104">
        <f t="shared" si="0"/>
        <v>16.8063</v>
      </c>
      <c r="AH17" s="105">
        <f t="shared" si="2"/>
        <v>22.270918999999999</v>
      </c>
      <c r="AI17" s="71">
        <f t="shared" si="3"/>
        <v>80.329961999999995</v>
      </c>
      <c r="AK17" s="101" t="s">
        <v>17</v>
      </c>
      <c r="AL17" s="121" t="s">
        <v>108</v>
      </c>
      <c r="AM17" s="102" t="s">
        <v>110</v>
      </c>
      <c r="AW17" s="31"/>
    </row>
    <row r="18" spans="1:54" x14ac:dyDescent="0.25">
      <c r="A18" s="124" t="s">
        <v>11</v>
      </c>
      <c r="B18" s="46">
        <v>8064</v>
      </c>
      <c r="C18" s="3">
        <v>0</v>
      </c>
      <c r="D18" s="3">
        <v>0</v>
      </c>
      <c r="E18" s="3">
        <v>3251</v>
      </c>
      <c r="F18" s="7">
        <v>2201</v>
      </c>
      <c r="G18" s="54">
        <v>13248</v>
      </c>
      <c r="H18" s="81">
        <v>13440</v>
      </c>
      <c r="I18" s="7">
        <v>512</v>
      </c>
      <c r="J18" s="10">
        <v>13632</v>
      </c>
      <c r="K18" s="10">
        <v>1728</v>
      </c>
      <c r="L18" s="3">
        <v>7509</v>
      </c>
      <c r="M18" s="51">
        <v>0</v>
      </c>
      <c r="N18" s="128">
        <v>794</v>
      </c>
      <c r="O18" s="54">
        <v>1500</v>
      </c>
      <c r="P18" s="93">
        <v>4923</v>
      </c>
      <c r="Q18" s="7">
        <v>788</v>
      </c>
      <c r="R18" s="46">
        <v>2317</v>
      </c>
      <c r="S18" s="93">
        <v>110</v>
      </c>
      <c r="T18" s="58">
        <v>0</v>
      </c>
      <c r="U18" s="53">
        <v>0</v>
      </c>
      <c r="V18" s="93">
        <v>13</v>
      </c>
      <c r="W18" s="93">
        <v>0</v>
      </c>
      <c r="X18" s="93">
        <v>17</v>
      </c>
      <c r="Y18" s="93">
        <v>0</v>
      </c>
      <c r="Z18" s="10">
        <v>384</v>
      </c>
      <c r="AA18" s="93">
        <v>1378</v>
      </c>
      <c r="AB18" s="58">
        <v>33</v>
      </c>
      <c r="AC18" s="52">
        <v>3338</v>
      </c>
      <c r="AD18" s="7">
        <v>2782</v>
      </c>
      <c r="AE18" s="47">
        <v>0</v>
      </c>
      <c r="AF18" s="103">
        <f t="shared" si="1"/>
        <v>50.084586999999999</v>
      </c>
      <c r="AG18" s="104">
        <f t="shared" si="0"/>
        <v>26.505300000000002</v>
      </c>
      <c r="AH18" s="105">
        <f t="shared" si="2"/>
        <v>47.149878000000001</v>
      </c>
      <c r="AI18" s="71">
        <f t="shared" si="3"/>
        <v>123.73976500000001</v>
      </c>
      <c r="AK18" s="97" t="s">
        <v>104</v>
      </c>
      <c r="AL18" s="95">
        <v>176597</v>
      </c>
      <c r="AM18" s="108" t="s">
        <v>18</v>
      </c>
      <c r="AW18" s="31"/>
    </row>
    <row r="19" spans="1:54" x14ac:dyDescent="0.25">
      <c r="A19" s="125" t="s">
        <v>14</v>
      </c>
      <c r="B19" s="88">
        <f t="shared" ref="B19:AH19" si="4">SUM(B7:B18)</f>
        <v>115776</v>
      </c>
      <c r="C19" s="89">
        <f t="shared" si="4"/>
        <v>8160</v>
      </c>
      <c r="D19" s="89">
        <f t="shared" si="4"/>
        <v>0</v>
      </c>
      <c r="E19" s="89">
        <f>SUM(E7:E18)</f>
        <v>28248</v>
      </c>
      <c r="F19" s="89">
        <f>SUM(F7:F18)</f>
        <v>12258</v>
      </c>
      <c r="G19" s="90">
        <f>SUM(G7:G18)</f>
        <v>169920</v>
      </c>
      <c r="H19" s="91">
        <f t="shared" si="4"/>
        <v>122112</v>
      </c>
      <c r="I19" s="89">
        <f>SUM(I7:I18)</f>
        <v>4393</v>
      </c>
      <c r="J19" s="89">
        <f t="shared" ref="J19:K19" si="5">SUM(J7:J18)</f>
        <v>162622</v>
      </c>
      <c r="K19" s="89">
        <f t="shared" si="5"/>
        <v>23040</v>
      </c>
      <c r="L19" s="89">
        <f t="shared" si="4"/>
        <v>62987</v>
      </c>
      <c r="M19" s="90">
        <f>SUM(M7:M18)</f>
        <v>0</v>
      </c>
      <c r="N19" s="91">
        <f>SUM(N7:N18)</f>
        <v>10698</v>
      </c>
      <c r="O19" s="90">
        <f t="shared" si="4"/>
        <v>10679</v>
      </c>
      <c r="P19" s="88">
        <f>SUM(P7:P18)</f>
        <v>69483</v>
      </c>
      <c r="Q19" s="89">
        <f>SUM(Q7:Q18)</f>
        <v>5885</v>
      </c>
      <c r="R19" s="88">
        <f>SUM(R7:R18)</f>
        <v>19026</v>
      </c>
      <c r="S19" s="89">
        <f t="shared" ref="S19" si="6">SUM(S7:S18)</f>
        <v>5582</v>
      </c>
      <c r="T19" s="90">
        <f>SUM(T7:T18)</f>
        <v>0</v>
      </c>
      <c r="U19" s="88">
        <f t="shared" ref="U19:X19" si="7">SUM(U7:U18)</f>
        <v>0</v>
      </c>
      <c r="V19" s="89">
        <f t="shared" si="7"/>
        <v>13</v>
      </c>
      <c r="W19" s="89">
        <f t="shared" si="7"/>
        <v>916</v>
      </c>
      <c r="X19" s="89">
        <f t="shared" si="7"/>
        <v>198</v>
      </c>
      <c r="Y19" s="89">
        <f>SUM(Y7:Y18)</f>
        <v>0</v>
      </c>
      <c r="Z19" s="89">
        <f>SUM(Z7:Z18)</f>
        <v>3456</v>
      </c>
      <c r="AA19" s="89">
        <f t="shared" ref="AA19" si="8">SUM(AA7:AA18)</f>
        <v>13919</v>
      </c>
      <c r="AB19" s="90">
        <f>SUM(AB7:AB18)</f>
        <v>412</v>
      </c>
      <c r="AC19" s="88">
        <f>SUM(AC7:AC18)</f>
        <v>26740</v>
      </c>
      <c r="AD19" s="89">
        <f>SUM(AD7:AD18)</f>
        <v>8053</v>
      </c>
      <c r="AE19" s="90">
        <f>SUM(AE7:AE18)</f>
        <v>2752</v>
      </c>
      <c r="AF19" s="106">
        <f>SUM(AF7:AF18)</f>
        <v>577.31357600000001</v>
      </c>
      <c r="AG19" s="107">
        <f t="shared" si="4"/>
        <v>176.03949999999998</v>
      </c>
      <c r="AH19" s="107">
        <f t="shared" si="4"/>
        <v>260.13349699999998</v>
      </c>
      <c r="AI19" s="92">
        <f>SUM(AI7:AI18)</f>
        <v>1013.4865730000001</v>
      </c>
      <c r="AK19" s="98" t="s">
        <v>105</v>
      </c>
      <c r="AL19" s="96">
        <v>71854</v>
      </c>
      <c r="AM19" s="109" t="s">
        <v>18</v>
      </c>
      <c r="AW19" s="31"/>
    </row>
    <row r="20" spans="1:54" ht="15.75" thickBot="1" x14ac:dyDescent="0.3">
      <c r="A20" s="126" t="s">
        <v>41</v>
      </c>
      <c r="B20" s="48">
        <f t="shared" ref="B20:Z20" si="9">7.07*10^-4</f>
        <v>7.0700000000000005E-4</v>
      </c>
      <c r="C20" s="4">
        <f t="shared" si="9"/>
        <v>7.0700000000000005E-4</v>
      </c>
      <c r="D20" s="4">
        <f t="shared" si="9"/>
        <v>7.0700000000000005E-4</v>
      </c>
      <c r="E20" s="4">
        <f t="shared" si="9"/>
        <v>7.0700000000000005E-4</v>
      </c>
      <c r="F20" s="5">
        <v>5.3E-3</v>
      </c>
      <c r="G20" s="59">
        <f>7.07*10^-4</f>
        <v>7.0700000000000005E-4</v>
      </c>
      <c r="H20" s="82">
        <f t="shared" si="9"/>
        <v>7.0700000000000005E-4</v>
      </c>
      <c r="I20" s="5">
        <v>5.3E-3</v>
      </c>
      <c r="J20" s="4">
        <f t="shared" si="9"/>
        <v>7.0700000000000005E-4</v>
      </c>
      <c r="K20" s="4">
        <f t="shared" si="9"/>
        <v>7.0700000000000005E-4</v>
      </c>
      <c r="L20" s="4">
        <f t="shared" si="9"/>
        <v>7.0700000000000005E-4</v>
      </c>
      <c r="M20" s="49">
        <v>5.3E-3</v>
      </c>
      <c r="N20" s="82">
        <f t="shared" ref="N20:AB20" si="10">7.07*10^-4</f>
        <v>7.0700000000000005E-4</v>
      </c>
      <c r="O20" s="49">
        <v>5.3E-3</v>
      </c>
      <c r="P20" s="48">
        <f>7.07*10^-4</f>
        <v>7.0700000000000005E-4</v>
      </c>
      <c r="Q20" s="5">
        <v>5.3E-3</v>
      </c>
      <c r="R20" s="48">
        <f t="shared" si="9"/>
        <v>7.0700000000000005E-4</v>
      </c>
      <c r="S20" s="4">
        <f t="shared" si="10"/>
        <v>7.0700000000000005E-4</v>
      </c>
      <c r="T20" s="59">
        <f t="shared" si="10"/>
        <v>7.0700000000000005E-4</v>
      </c>
      <c r="U20" s="48">
        <f t="shared" si="10"/>
        <v>7.0700000000000005E-4</v>
      </c>
      <c r="V20" s="4">
        <f t="shared" si="10"/>
        <v>7.0700000000000005E-4</v>
      </c>
      <c r="W20" s="4">
        <f t="shared" si="10"/>
        <v>7.0700000000000005E-4</v>
      </c>
      <c r="X20" s="4">
        <f t="shared" si="10"/>
        <v>7.0700000000000005E-4</v>
      </c>
      <c r="Y20" s="4">
        <f t="shared" si="10"/>
        <v>7.0700000000000005E-4</v>
      </c>
      <c r="Z20" s="4">
        <f t="shared" si="9"/>
        <v>7.0700000000000005E-4</v>
      </c>
      <c r="AA20" s="4">
        <f t="shared" si="10"/>
        <v>7.0700000000000005E-4</v>
      </c>
      <c r="AB20" s="59">
        <f t="shared" si="10"/>
        <v>7.0700000000000005E-4</v>
      </c>
      <c r="AC20" s="63">
        <v>5.5999999999999999E-3</v>
      </c>
      <c r="AD20" s="5">
        <f>0.010229</f>
        <v>1.0229E-2</v>
      </c>
      <c r="AE20" s="64">
        <f>10.18*10^-3</f>
        <v>1.018E-2</v>
      </c>
      <c r="AF20" s="47">
        <v>1</v>
      </c>
      <c r="AG20" s="83">
        <v>1</v>
      </c>
      <c r="AH20" s="73">
        <v>1</v>
      </c>
      <c r="AI20" s="72">
        <v>1</v>
      </c>
      <c r="AK20" s="53" t="s">
        <v>106</v>
      </c>
      <c r="AL20" s="96">
        <v>109663</v>
      </c>
      <c r="AM20" s="110" t="s">
        <v>18</v>
      </c>
      <c r="AW20" s="27"/>
    </row>
    <row r="21" spans="1:54" ht="16.899999999999999" customHeight="1" thickBot="1" x14ac:dyDescent="0.3">
      <c r="A21" s="127" t="s">
        <v>23</v>
      </c>
      <c r="B21" s="84">
        <f t="shared" ref="B21:C21" si="11">B19*B20</f>
        <v>81.853632000000005</v>
      </c>
      <c r="C21" s="85">
        <f t="shared" si="11"/>
        <v>5.76912</v>
      </c>
      <c r="D21" s="85">
        <f>D19*D20</f>
        <v>0</v>
      </c>
      <c r="E21" s="85">
        <f>E19*E20</f>
        <v>19.971336000000001</v>
      </c>
      <c r="F21" s="85">
        <f>F19*F20</f>
        <v>64.967399999999998</v>
      </c>
      <c r="G21" s="86">
        <f>G19*G20</f>
        <v>120.13344000000001</v>
      </c>
      <c r="H21" s="87">
        <f t="shared" ref="H21" si="12">H19*H20</f>
        <v>86.333184000000003</v>
      </c>
      <c r="I21" s="85">
        <f>I19*I20</f>
        <v>23.282900000000001</v>
      </c>
      <c r="J21" s="85">
        <f t="shared" ref="J21:AH21" si="13">J19*J20</f>
        <v>114.97375400000001</v>
      </c>
      <c r="K21" s="85">
        <f t="shared" si="13"/>
        <v>16.289280000000002</v>
      </c>
      <c r="L21" s="85">
        <f t="shared" si="13"/>
        <v>44.531809000000003</v>
      </c>
      <c r="M21" s="86">
        <f t="shared" si="13"/>
        <v>0</v>
      </c>
      <c r="N21" s="87">
        <f t="shared" si="13"/>
        <v>7.5634860000000002</v>
      </c>
      <c r="O21" s="86">
        <f t="shared" si="13"/>
        <v>56.598700000000001</v>
      </c>
      <c r="P21" s="84">
        <f t="shared" si="13"/>
        <v>49.124481000000003</v>
      </c>
      <c r="Q21" s="85">
        <f t="shared" si="13"/>
        <v>31.1905</v>
      </c>
      <c r="R21" s="84">
        <f t="shared" si="13"/>
        <v>13.451382000000001</v>
      </c>
      <c r="S21" s="85">
        <f t="shared" si="13"/>
        <v>3.9464740000000003</v>
      </c>
      <c r="T21" s="86">
        <f t="shared" si="13"/>
        <v>0</v>
      </c>
      <c r="U21" s="84">
        <f t="shared" si="13"/>
        <v>0</v>
      </c>
      <c r="V21" s="85">
        <f t="shared" si="13"/>
        <v>9.1910000000000013E-3</v>
      </c>
      <c r="W21" s="85">
        <f t="shared" si="13"/>
        <v>0.64761200000000008</v>
      </c>
      <c r="X21" s="85">
        <f t="shared" si="13"/>
        <v>0.139986</v>
      </c>
      <c r="Y21" s="85">
        <f t="shared" si="13"/>
        <v>0</v>
      </c>
      <c r="Z21" s="85">
        <f t="shared" si="13"/>
        <v>2.4433920000000002</v>
      </c>
      <c r="AA21" s="85">
        <f t="shared" si="13"/>
        <v>9.8407330000000002</v>
      </c>
      <c r="AB21" s="86">
        <f t="shared" si="13"/>
        <v>0.29128400000000004</v>
      </c>
      <c r="AC21" s="84">
        <f t="shared" si="13"/>
        <v>149.744</v>
      </c>
      <c r="AD21" s="85">
        <f t="shared" si="13"/>
        <v>82.374137000000005</v>
      </c>
      <c r="AE21" s="86">
        <f t="shared" si="13"/>
        <v>28.015360000000001</v>
      </c>
      <c r="AF21" s="84">
        <f t="shared" si="13"/>
        <v>577.31357600000001</v>
      </c>
      <c r="AG21" s="85">
        <f t="shared" si="13"/>
        <v>176.03949999999998</v>
      </c>
      <c r="AH21" s="85">
        <f t="shared" si="13"/>
        <v>260.13349699999998</v>
      </c>
      <c r="AI21" s="74">
        <f>SUM(AF21,AG21,AH21)</f>
        <v>1013.4865729999999</v>
      </c>
      <c r="AK21" s="99" t="s">
        <v>107</v>
      </c>
      <c r="AL21" s="100">
        <f>SUM(AL18:AL20)</f>
        <v>358114</v>
      </c>
      <c r="AM21" s="114">
        <f>(AI21*2204.62/AL21)</f>
        <v>6.2392220593645034</v>
      </c>
      <c r="AW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94"/>
    </row>
    <row r="23" spans="1:54" x14ac:dyDescent="0.25">
      <c r="B23" s="12" t="s">
        <v>123</v>
      </c>
      <c r="F23" s="35" t="s">
        <v>22</v>
      </c>
      <c r="AY23" s="94"/>
    </row>
    <row r="24" spans="1:54" ht="15.6" customHeight="1" x14ac:dyDescent="0.25">
      <c r="B24" t="s">
        <v>124</v>
      </c>
      <c r="F24" s="75" t="s">
        <v>125</v>
      </c>
      <c r="H24" s="75"/>
      <c r="I24" s="75"/>
      <c r="Q24" s="12"/>
      <c r="AY24" s="94"/>
    </row>
    <row r="25" spans="1:54" x14ac:dyDescent="0.25">
      <c r="L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94"/>
    </row>
    <row r="26" spans="1:54" x14ac:dyDescent="0.25"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94"/>
      <c r="Q27" s="20"/>
      <c r="R27" s="20"/>
      <c r="S27" s="94"/>
      <c r="T27" s="94"/>
      <c r="U27" s="12"/>
      <c r="V27" s="12"/>
      <c r="W27" s="12"/>
      <c r="X27" s="12"/>
      <c r="Y27" s="12"/>
      <c r="Z27" s="12"/>
    </row>
    <row r="28" spans="1:54" x14ac:dyDescent="0.25">
      <c r="P28" s="94"/>
      <c r="Q28" s="20"/>
      <c r="R28" s="20"/>
      <c r="S28" s="94"/>
      <c r="T28" s="94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9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9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9">
    <mergeCell ref="AC1:AE1"/>
    <mergeCell ref="AF1:AI1"/>
    <mergeCell ref="AM1:AW1"/>
    <mergeCell ref="B1:G1"/>
    <mergeCell ref="H1:M1"/>
    <mergeCell ref="N1:O1"/>
    <mergeCell ref="P1:Q1"/>
    <mergeCell ref="R1:T1"/>
    <mergeCell ref="U1:AB1"/>
  </mergeCells>
  <hyperlinks>
    <hyperlink ref="F24" r:id="rId1"/>
    <hyperlink ref="F23" r:id="rId2"/>
  </hyperlinks>
  <pageMargins left="0.7" right="0.7" top="0.75" bottom="0.75" header="0.3" footer="0.3"/>
  <pageSetup paperSize="3" orientation="landscape" horizontalDpi="1200" verticalDpi="1200" r:id="rId3"/>
  <headerFooter>
    <oddHeader xml:space="preserve">&amp;L&amp;"-,Bold"&amp;14Duluth Seaway Port Authority&amp;C&amp;"-,Bold"&amp;14Green Marine Greenhouse Gas Emissions &amp;R&amp;"-,Bold"&amp;14 </oddHead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WhiteSpace="0" zoomScaleNormal="100" workbookViewId="0">
      <pane xSplit="1" topLeftCell="B1" activePane="topRight" state="frozen"/>
      <selection pane="topRight" activeCell="C26" sqref="C26"/>
    </sheetView>
  </sheetViews>
  <sheetFormatPr defaultRowHeight="15" x14ac:dyDescent="0.25"/>
  <cols>
    <col min="1" max="1" width="20.28515625" bestFit="1" customWidth="1"/>
    <col min="2" max="2" width="14.7109375" customWidth="1"/>
    <col min="3" max="3" width="11.7109375" customWidth="1"/>
    <col min="4" max="4" width="15.28515625" bestFit="1" customWidth="1"/>
    <col min="5" max="5" width="12.7109375" customWidth="1"/>
    <col min="6" max="6" width="15.28515625" bestFit="1" customWidth="1"/>
    <col min="7" max="7" width="14.28515625" customWidth="1"/>
    <col min="8" max="8" width="14.85546875" customWidth="1"/>
    <col min="9" max="9" width="14.140625" customWidth="1"/>
    <col min="10" max="10" width="13.7109375" customWidth="1"/>
    <col min="11" max="11" width="14.28515625" customWidth="1"/>
    <col min="12" max="12" width="15.28515625" bestFit="1" customWidth="1"/>
    <col min="13" max="13" width="11.7109375" bestFit="1" customWidth="1"/>
    <col min="14" max="14" width="15.28515625" bestFit="1" customWidth="1"/>
    <col min="15" max="15" width="14.28515625" customWidth="1"/>
    <col min="16" max="16" width="15.28515625" bestFit="1" customWidth="1"/>
    <col min="17" max="17" width="15.28515625" customWidth="1"/>
    <col min="18" max="18" width="15.28515625" bestFit="1" customWidth="1"/>
    <col min="19" max="20" width="16.42578125" bestFit="1" customWidth="1"/>
    <col min="21" max="21" width="14" customWidth="1"/>
    <col min="22" max="22" width="13.7109375" customWidth="1"/>
    <col min="23" max="28" width="13.85546875" customWidth="1"/>
    <col min="29" max="29" width="14.5703125" customWidth="1"/>
    <col min="30" max="30" width="14.7109375" customWidth="1"/>
    <col min="31" max="31" width="16.42578125" customWidth="1"/>
    <col min="32" max="32" width="15" bestFit="1" customWidth="1"/>
    <col min="33" max="33" width="15.7109375" customWidth="1"/>
    <col min="34" max="34" width="17.140625" customWidth="1"/>
    <col min="35" max="35" width="15" bestFit="1" customWidth="1"/>
    <col min="36" max="36" width="15.7109375" bestFit="1" customWidth="1"/>
    <col min="37" max="37" width="16.85546875" customWidth="1"/>
    <col min="38" max="38" width="18" customWidth="1"/>
    <col min="39" max="40" width="24.7109375" bestFit="1" customWidth="1"/>
    <col min="41" max="41" width="25.42578125" customWidth="1"/>
    <col min="42" max="44" width="14" customWidth="1"/>
    <col min="45" max="46" width="11" customWidth="1"/>
    <col min="47" max="52" width="11.28515625" customWidth="1"/>
    <col min="53" max="53" width="8.140625" customWidth="1"/>
    <col min="54" max="54" width="10.85546875" customWidth="1"/>
    <col min="55" max="55" width="14.140625" customWidth="1"/>
  </cols>
  <sheetData>
    <row r="1" spans="1:53" ht="16.5" thickBot="1" x14ac:dyDescent="0.3">
      <c r="A1" s="120" t="s">
        <v>44</v>
      </c>
      <c r="B1" s="178" t="s">
        <v>127</v>
      </c>
      <c r="C1" s="179"/>
      <c r="D1" s="179"/>
      <c r="E1" s="179"/>
      <c r="F1" s="179"/>
      <c r="G1" s="179"/>
      <c r="H1" s="180"/>
      <c r="I1" s="179" t="s">
        <v>126</v>
      </c>
      <c r="J1" s="179"/>
      <c r="K1" s="179"/>
      <c r="L1" s="179"/>
      <c r="M1" s="179"/>
      <c r="N1" s="180"/>
      <c r="O1" s="160" t="s">
        <v>47</v>
      </c>
      <c r="P1" s="178" t="s">
        <v>90</v>
      </c>
      <c r="Q1" s="180"/>
      <c r="R1" s="178" t="s">
        <v>19</v>
      </c>
      <c r="S1" s="179"/>
      <c r="T1" s="180"/>
      <c r="U1" s="178" t="s">
        <v>92</v>
      </c>
      <c r="V1" s="179"/>
      <c r="W1" s="179"/>
      <c r="X1" s="179"/>
      <c r="Y1" s="179"/>
      <c r="Z1" s="179"/>
      <c r="AA1" s="179"/>
      <c r="AB1" s="180"/>
      <c r="AC1" s="178" t="s">
        <v>129</v>
      </c>
      <c r="AD1" s="179"/>
      <c r="AE1" s="180"/>
      <c r="AF1" s="178" t="s">
        <v>93</v>
      </c>
      <c r="AG1" s="179"/>
      <c r="AH1" s="179"/>
      <c r="AI1" s="180"/>
      <c r="AJ1" s="161"/>
      <c r="AK1" s="161"/>
      <c r="AL1" s="16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61"/>
      <c r="AY1" s="39"/>
      <c r="AZ1" s="12"/>
      <c r="BA1" s="12"/>
    </row>
    <row r="2" spans="1:53" ht="78" customHeight="1" x14ac:dyDescent="0.25">
      <c r="A2" s="155" t="s">
        <v>156</v>
      </c>
      <c r="B2" s="167" t="s">
        <v>121</v>
      </c>
      <c r="C2" s="77" t="s">
        <v>121</v>
      </c>
      <c r="D2" s="24" t="s">
        <v>83</v>
      </c>
      <c r="E2" s="24" t="s">
        <v>82</v>
      </c>
      <c r="F2" s="24" t="s">
        <v>122</v>
      </c>
      <c r="G2" s="25" t="s">
        <v>122</v>
      </c>
      <c r="H2" s="56" t="s">
        <v>12</v>
      </c>
      <c r="I2" s="77" t="s">
        <v>13</v>
      </c>
      <c r="J2" s="25" t="s">
        <v>13</v>
      </c>
      <c r="K2" s="24" t="s">
        <v>20</v>
      </c>
      <c r="L2" s="24" t="s">
        <v>99</v>
      </c>
      <c r="M2" s="24" t="s">
        <v>21</v>
      </c>
      <c r="N2" s="41" t="s">
        <v>21</v>
      </c>
      <c r="O2" s="77" t="s">
        <v>47</v>
      </c>
      <c r="P2" s="40" t="s">
        <v>90</v>
      </c>
      <c r="Q2" s="25" t="s">
        <v>90</v>
      </c>
      <c r="R2" s="40" t="s">
        <v>19</v>
      </c>
      <c r="S2" s="24" t="s">
        <v>84</v>
      </c>
      <c r="T2" s="56" t="s">
        <v>85</v>
      </c>
      <c r="U2" s="40" t="s">
        <v>86</v>
      </c>
      <c r="V2" s="24" t="s">
        <v>87</v>
      </c>
      <c r="W2" s="24" t="s">
        <v>94</v>
      </c>
      <c r="X2" s="24" t="s">
        <v>88</v>
      </c>
      <c r="Y2" s="24" t="s">
        <v>89</v>
      </c>
      <c r="Z2" s="24" t="s">
        <v>100</v>
      </c>
      <c r="AA2" s="24" t="s">
        <v>46</v>
      </c>
      <c r="AB2" s="56" t="s">
        <v>91</v>
      </c>
      <c r="AC2" s="133" t="s">
        <v>148</v>
      </c>
      <c r="AD2" s="37" t="s">
        <v>145</v>
      </c>
      <c r="AE2" s="60" t="s">
        <v>146</v>
      </c>
      <c r="AF2" s="40" t="s">
        <v>95</v>
      </c>
      <c r="AG2" s="25" t="s">
        <v>111</v>
      </c>
      <c r="AH2" s="37" t="s">
        <v>147</v>
      </c>
      <c r="AI2" s="65" t="s">
        <v>96</v>
      </c>
      <c r="AQ2" s="12"/>
      <c r="AR2" s="94"/>
      <c r="AT2" s="94"/>
      <c r="AW2" s="28"/>
    </row>
    <row r="3" spans="1:53" x14ac:dyDescent="0.25">
      <c r="A3" s="152" t="s">
        <v>155</v>
      </c>
      <c r="B3" s="42" t="s">
        <v>42</v>
      </c>
      <c r="C3" s="78" t="s">
        <v>42</v>
      </c>
      <c r="D3" s="6" t="s">
        <v>42</v>
      </c>
      <c r="E3" s="6" t="s">
        <v>42</v>
      </c>
      <c r="F3" s="6" t="s">
        <v>42</v>
      </c>
      <c r="G3" s="6" t="s">
        <v>42</v>
      </c>
      <c r="H3" s="43" t="s">
        <v>42</v>
      </c>
      <c r="I3" s="78" t="s">
        <v>42</v>
      </c>
      <c r="J3" s="6" t="s">
        <v>42</v>
      </c>
      <c r="K3" s="6" t="s">
        <v>42</v>
      </c>
      <c r="L3" s="6" t="s">
        <v>42</v>
      </c>
      <c r="M3" s="6" t="s">
        <v>42</v>
      </c>
      <c r="N3" s="43" t="s">
        <v>42</v>
      </c>
      <c r="O3" s="78" t="s">
        <v>43</v>
      </c>
      <c r="P3" s="42" t="s">
        <v>43</v>
      </c>
      <c r="Q3" s="6" t="s">
        <v>43</v>
      </c>
      <c r="R3" s="42" t="s">
        <v>42</v>
      </c>
      <c r="S3" s="6" t="s">
        <v>43</v>
      </c>
      <c r="T3" s="43" t="s">
        <v>43</v>
      </c>
      <c r="U3" s="42" t="s">
        <v>43</v>
      </c>
      <c r="V3" s="6" t="s">
        <v>43</v>
      </c>
      <c r="W3" s="6" t="s">
        <v>43</v>
      </c>
      <c r="X3" s="6" t="s">
        <v>43</v>
      </c>
      <c r="Y3" s="6" t="s">
        <v>43</v>
      </c>
      <c r="Z3" s="6" t="s">
        <v>42</v>
      </c>
      <c r="AA3" s="6" t="s">
        <v>43</v>
      </c>
      <c r="AB3" s="43" t="s">
        <v>43</v>
      </c>
      <c r="AC3" s="78" t="s">
        <v>42</v>
      </c>
      <c r="AD3" s="6" t="s">
        <v>42</v>
      </c>
      <c r="AE3" s="43" t="s">
        <v>42</v>
      </c>
      <c r="AF3" s="66" t="s">
        <v>97</v>
      </c>
      <c r="AG3" s="11" t="s">
        <v>97</v>
      </c>
      <c r="AH3" s="21" t="s">
        <v>97</v>
      </c>
      <c r="AI3" s="67" t="s">
        <v>97</v>
      </c>
      <c r="AN3" s="94"/>
      <c r="AP3" s="33"/>
      <c r="AQ3" s="33"/>
      <c r="AW3" s="28"/>
    </row>
    <row r="4" spans="1:53" ht="90" x14ac:dyDescent="0.25">
      <c r="A4" s="153" t="s">
        <v>119</v>
      </c>
      <c r="B4" s="166" t="s">
        <v>160</v>
      </c>
      <c r="C4" s="111" t="s">
        <v>36</v>
      </c>
      <c r="D4" s="15" t="s">
        <v>78</v>
      </c>
      <c r="E4" s="15" t="s">
        <v>81</v>
      </c>
      <c r="F4" s="15" t="s">
        <v>76</v>
      </c>
      <c r="G4" s="15" t="s">
        <v>28</v>
      </c>
      <c r="H4" s="50" t="s">
        <v>35</v>
      </c>
      <c r="I4" s="79" t="s">
        <v>34</v>
      </c>
      <c r="J4" s="165" t="s">
        <v>159</v>
      </c>
      <c r="K4" s="16" t="s">
        <v>72</v>
      </c>
      <c r="L4" s="16" t="s">
        <v>68</v>
      </c>
      <c r="M4" s="15" t="s">
        <v>71</v>
      </c>
      <c r="N4" s="69" t="s">
        <v>29</v>
      </c>
      <c r="O4" s="111" t="s">
        <v>50</v>
      </c>
      <c r="P4" s="112" t="s">
        <v>135</v>
      </c>
      <c r="Q4" s="15" t="s">
        <v>135</v>
      </c>
      <c r="R4" s="44" t="s">
        <v>24</v>
      </c>
      <c r="S4" s="15" t="s">
        <v>59</v>
      </c>
      <c r="T4" s="50" t="s">
        <v>58</v>
      </c>
      <c r="U4" s="44" t="s">
        <v>56</v>
      </c>
      <c r="V4" s="15" t="s">
        <v>52</v>
      </c>
      <c r="W4" s="15" t="s">
        <v>62</v>
      </c>
      <c r="X4" s="15" t="s">
        <v>65</v>
      </c>
      <c r="Y4" s="15" t="s">
        <v>64</v>
      </c>
      <c r="Z4" s="16" t="s">
        <v>74</v>
      </c>
      <c r="AA4" s="15" t="s">
        <v>51</v>
      </c>
      <c r="AB4" s="50" t="s">
        <v>57</v>
      </c>
      <c r="AC4" s="111" t="s">
        <v>142</v>
      </c>
      <c r="AD4" s="15" t="s">
        <v>143</v>
      </c>
      <c r="AE4" s="50" t="s">
        <v>144</v>
      </c>
      <c r="AF4" s="68" t="s">
        <v>45</v>
      </c>
      <c r="AG4" s="17" t="s">
        <v>40</v>
      </c>
      <c r="AH4" s="22" t="s">
        <v>116</v>
      </c>
      <c r="AI4" s="69" t="s">
        <v>18</v>
      </c>
      <c r="AN4" s="14"/>
      <c r="AP4" s="14"/>
      <c r="AQ4" s="14"/>
      <c r="AW4" s="29"/>
    </row>
    <row r="5" spans="1:53" ht="45" x14ac:dyDescent="0.25">
      <c r="A5" s="154" t="s">
        <v>152</v>
      </c>
      <c r="B5" s="44" t="s">
        <v>39</v>
      </c>
      <c r="C5" s="111" t="s">
        <v>37</v>
      </c>
      <c r="D5" s="15" t="s">
        <v>80</v>
      </c>
      <c r="E5" s="15" t="s">
        <v>79</v>
      </c>
      <c r="F5" s="15" t="s">
        <v>77</v>
      </c>
      <c r="G5" s="15" t="s">
        <v>30</v>
      </c>
      <c r="H5" s="50" t="s">
        <v>101</v>
      </c>
      <c r="I5" s="79" t="s">
        <v>38</v>
      </c>
      <c r="J5" s="15" t="s">
        <v>33</v>
      </c>
      <c r="K5" s="16" t="s">
        <v>73</v>
      </c>
      <c r="L5" s="16" t="s">
        <v>70</v>
      </c>
      <c r="M5" s="15" t="s">
        <v>69</v>
      </c>
      <c r="N5" s="50" t="s">
        <v>158</v>
      </c>
      <c r="O5" s="111" t="s">
        <v>48</v>
      </c>
      <c r="P5" s="44" t="s">
        <v>136</v>
      </c>
      <c r="Q5" s="15" t="s">
        <v>134</v>
      </c>
      <c r="R5" s="44" t="s">
        <v>26</v>
      </c>
      <c r="S5" s="15" t="s">
        <v>61</v>
      </c>
      <c r="T5" s="50" t="s">
        <v>60</v>
      </c>
      <c r="U5" s="44" t="s">
        <v>55</v>
      </c>
      <c r="V5" s="15" t="s">
        <v>53</v>
      </c>
      <c r="W5" s="15" t="s">
        <v>63</v>
      </c>
      <c r="X5" s="15" t="s">
        <v>67</v>
      </c>
      <c r="Y5" s="15" t="s">
        <v>66</v>
      </c>
      <c r="Z5" s="16" t="s">
        <v>75</v>
      </c>
      <c r="AA5" s="15" t="s">
        <v>49</v>
      </c>
      <c r="AB5" s="50" t="s">
        <v>54</v>
      </c>
      <c r="AC5" s="111" t="s">
        <v>151</v>
      </c>
      <c r="AD5" s="15" t="s">
        <v>150</v>
      </c>
      <c r="AE5" s="50" t="s">
        <v>153</v>
      </c>
      <c r="AF5" s="68" t="s">
        <v>18</v>
      </c>
      <c r="AG5" s="17" t="s">
        <v>18</v>
      </c>
      <c r="AH5" s="22" t="s">
        <v>18</v>
      </c>
      <c r="AI5" s="69" t="s">
        <v>18</v>
      </c>
      <c r="AN5" s="94"/>
      <c r="AP5" s="94"/>
      <c r="AQ5" s="94"/>
      <c r="AS5" s="94"/>
      <c r="AT5" s="94"/>
      <c r="AU5" s="94"/>
      <c r="AV5" s="94"/>
      <c r="AW5" s="29"/>
    </row>
    <row r="6" spans="1:53" x14ac:dyDescent="0.25">
      <c r="A6" s="156" t="s">
        <v>102</v>
      </c>
      <c r="B6" s="164" t="s">
        <v>103</v>
      </c>
      <c r="C6" s="80" t="s">
        <v>15</v>
      </c>
      <c r="D6" s="1" t="s">
        <v>15</v>
      </c>
      <c r="E6" s="1" t="s">
        <v>15</v>
      </c>
      <c r="F6" s="1" t="s">
        <v>15</v>
      </c>
      <c r="G6" s="18" t="s">
        <v>103</v>
      </c>
      <c r="H6" s="57" t="s">
        <v>15</v>
      </c>
      <c r="I6" s="80" t="s">
        <v>15</v>
      </c>
      <c r="J6" s="18" t="s">
        <v>103</v>
      </c>
      <c r="K6" s="1" t="s">
        <v>15</v>
      </c>
      <c r="L6" s="1" t="s">
        <v>15</v>
      </c>
      <c r="M6" s="1" t="s">
        <v>15</v>
      </c>
      <c r="N6" s="129" t="s">
        <v>103</v>
      </c>
      <c r="O6" s="80" t="s">
        <v>15</v>
      </c>
      <c r="P6" s="45" t="s">
        <v>15</v>
      </c>
      <c r="Q6" s="76" t="s">
        <v>103</v>
      </c>
      <c r="R6" s="45" t="s">
        <v>15</v>
      </c>
      <c r="S6" s="1" t="s">
        <v>15</v>
      </c>
      <c r="T6" s="57" t="s">
        <v>15</v>
      </c>
      <c r="U6" s="45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15</v>
      </c>
      <c r="AA6" s="1" t="s">
        <v>15</v>
      </c>
      <c r="AB6" s="57" t="s">
        <v>15</v>
      </c>
      <c r="AC6" s="23" t="s">
        <v>16</v>
      </c>
      <c r="AD6" s="23" t="s">
        <v>16</v>
      </c>
      <c r="AE6" s="55" t="s">
        <v>16</v>
      </c>
      <c r="AF6" s="45" t="s">
        <v>98</v>
      </c>
      <c r="AG6" s="18" t="s">
        <v>98</v>
      </c>
      <c r="AH6" s="23" t="s">
        <v>98</v>
      </c>
      <c r="AI6" s="70" t="s">
        <v>98</v>
      </c>
      <c r="AN6" s="34"/>
      <c r="AQ6" s="94"/>
      <c r="AR6" s="94"/>
      <c r="AS6" s="94"/>
      <c r="AT6" s="94"/>
      <c r="AU6" s="94"/>
      <c r="AV6" s="94"/>
      <c r="AW6" s="30"/>
    </row>
    <row r="7" spans="1:53" x14ac:dyDescent="0.25">
      <c r="A7" s="126" t="s">
        <v>0</v>
      </c>
      <c r="B7" s="52">
        <v>2016</v>
      </c>
      <c r="C7" s="163">
        <v>10663</v>
      </c>
      <c r="D7" s="3">
        <v>239</v>
      </c>
      <c r="E7" s="3">
        <v>211</v>
      </c>
      <c r="F7" s="3">
        <v>4968</v>
      </c>
      <c r="G7" s="7">
        <v>2102</v>
      </c>
      <c r="H7" s="54">
        <v>16970</v>
      </c>
      <c r="I7" s="81">
        <v>14170</v>
      </c>
      <c r="J7" s="10">
        <v>898</v>
      </c>
      <c r="K7" s="10">
        <v>17280</v>
      </c>
      <c r="L7" s="10">
        <v>2497</v>
      </c>
      <c r="M7" s="10">
        <v>10340.645</v>
      </c>
      <c r="N7" s="8">
        <v>12</v>
      </c>
      <c r="O7" s="58">
        <v>1042</v>
      </c>
      <c r="P7" s="128">
        <v>5065</v>
      </c>
      <c r="Q7" s="7">
        <v>1032</v>
      </c>
      <c r="R7" s="46">
        <v>2872</v>
      </c>
      <c r="S7" s="93">
        <v>59</v>
      </c>
      <c r="T7" s="58">
        <v>0</v>
      </c>
      <c r="U7" s="53">
        <v>0</v>
      </c>
      <c r="V7" s="93">
        <v>0</v>
      </c>
      <c r="W7" s="93">
        <v>3174</v>
      </c>
      <c r="X7" s="93">
        <v>17.899999999999999</v>
      </c>
      <c r="Y7" s="93">
        <v>0</v>
      </c>
      <c r="Z7" s="10">
        <v>1343</v>
      </c>
      <c r="AA7" s="93">
        <v>1584</v>
      </c>
      <c r="AB7" s="58">
        <v>34.700000000000003</v>
      </c>
      <c r="AC7" s="52">
        <f>456+669.3+439+80+557+49.1+348</f>
        <v>2598.4</v>
      </c>
      <c r="AD7" s="7">
        <f>SUM(515.4,507.9,451.8,404,252.2,202.8,278,86.3,519.1)</f>
        <v>3217.5</v>
      </c>
      <c r="AE7" s="61">
        <f>374.5+56.7</f>
        <v>431.2</v>
      </c>
      <c r="AF7" s="103">
        <f t="shared" ref="AF7:AF18" si="0">SUM(H7,C7,F7,D7,E7,I7,K7,L7,M7,O7,P7,R7,S7,T7,U7,V7,W7,X7,Y7,Z7,AA7,AB7)*0.000455</f>
        <v>42.101261475000001</v>
      </c>
      <c r="AG7" s="104">
        <f t="shared" ref="AG7:AG18" si="1">SUM(G7,J7,N7,B7,Q7)*0.0053</f>
        <v>32.118000000000002</v>
      </c>
      <c r="AH7" s="105">
        <f t="shared" ref="AH7:AH18" si="2">SUM(AC7*AC$20,AD7*AD$20,AE7*AE$20)</f>
        <v>51.852463499999999</v>
      </c>
      <c r="AI7" s="71">
        <f t="shared" ref="AI7:AI18" si="3">SUM(AF7,AG7,AH7)</f>
        <v>126.071724975</v>
      </c>
      <c r="AN7" s="12"/>
      <c r="AQ7" s="12"/>
      <c r="AR7" s="12"/>
      <c r="AS7" s="12"/>
      <c r="AT7" s="12"/>
      <c r="AU7" s="12"/>
      <c r="AV7" s="12"/>
      <c r="AW7" s="31"/>
    </row>
    <row r="8" spans="1:53" ht="14.45" customHeight="1" x14ac:dyDescent="0.25">
      <c r="A8" s="126" t="s">
        <v>1</v>
      </c>
      <c r="B8" s="46">
        <v>2202</v>
      </c>
      <c r="C8" s="163">
        <v>11320</v>
      </c>
      <c r="D8" s="3">
        <v>20.2</v>
      </c>
      <c r="E8" s="3">
        <v>0</v>
      </c>
      <c r="F8" s="3">
        <v>5668</v>
      </c>
      <c r="G8" s="7">
        <v>2438</v>
      </c>
      <c r="H8" s="54">
        <v>15870</v>
      </c>
      <c r="I8" s="81">
        <v>15330</v>
      </c>
      <c r="J8" s="7">
        <v>984</v>
      </c>
      <c r="K8" s="10">
        <v>17820</v>
      </c>
      <c r="L8" s="10">
        <v>2559</v>
      </c>
      <c r="M8" s="3">
        <v>12329</v>
      </c>
      <c r="N8" s="8">
        <v>33</v>
      </c>
      <c r="O8" s="58">
        <v>1163</v>
      </c>
      <c r="P8" s="128">
        <v>5944</v>
      </c>
      <c r="Q8" s="7">
        <v>1134</v>
      </c>
      <c r="R8" s="46">
        <v>4305</v>
      </c>
      <c r="S8" s="93">
        <v>57.9</v>
      </c>
      <c r="T8" s="58">
        <v>0</v>
      </c>
      <c r="U8" s="53">
        <v>0</v>
      </c>
      <c r="V8" s="93">
        <v>0</v>
      </c>
      <c r="W8" s="93">
        <v>2983</v>
      </c>
      <c r="X8" s="93">
        <v>17.3</v>
      </c>
      <c r="Y8" s="93">
        <v>0</v>
      </c>
      <c r="Z8" s="10">
        <v>1908</v>
      </c>
      <c r="AA8" s="93">
        <v>1452</v>
      </c>
      <c r="AB8" s="58">
        <v>32.9</v>
      </c>
      <c r="AC8" s="52">
        <f>728.9+619.7+40.2</f>
        <v>1388.8</v>
      </c>
      <c r="AD8" s="7">
        <f>SUM(241.1,162.6,203.8,246.3,93.7,389.7,266.6,58.3,291.6)</f>
        <v>1953.7000000000003</v>
      </c>
      <c r="AE8" s="61">
        <v>0</v>
      </c>
      <c r="AF8" s="103">
        <f t="shared" si="0"/>
        <v>44.944581499999998</v>
      </c>
      <c r="AG8" s="104">
        <f t="shared" si="1"/>
        <v>35.9923</v>
      </c>
      <c r="AH8" s="105">
        <f t="shared" si="2"/>
        <v>27.761677300000002</v>
      </c>
      <c r="AI8" s="71">
        <f t="shared" si="3"/>
        <v>108.6985588</v>
      </c>
      <c r="AW8" s="31"/>
    </row>
    <row r="9" spans="1:53" x14ac:dyDescent="0.25">
      <c r="A9" s="124" t="s">
        <v>2</v>
      </c>
      <c r="B9" s="46">
        <v>2165</v>
      </c>
      <c r="C9" s="163">
        <v>12271</v>
      </c>
      <c r="D9" s="3">
        <v>0</v>
      </c>
      <c r="E9" s="3">
        <v>0</v>
      </c>
      <c r="F9" s="3">
        <v>6003</v>
      </c>
      <c r="G9" s="7">
        <v>2127</v>
      </c>
      <c r="H9" s="54">
        <v>16760</v>
      </c>
      <c r="I9" s="81">
        <v>18850</v>
      </c>
      <c r="J9" s="7">
        <v>877</v>
      </c>
      <c r="K9" s="10">
        <v>28420</v>
      </c>
      <c r="L9" s="10">
        <v>2647</v>
      </c>
      <c r="M9" s="3">
        <v>12523</v>
      </c>
      <c r="N9" s="8">
        <v>41</v>
      </c>
      <c r="O9" s="58">
        <v>1253</v>
      </c>
      <c r="P9" s="128">
        <v>5889</v>
      </c>
      <c r="Q9" s="7">
        <v>952</v>
      </c>
      <c r="R9" s="46">
        <v>4400</v>
      </c>
      <c r="S9" s="93">
        <v>690</v>
      </c>
      <c r="T9" s="58">
        <v>0</v>
      </c>
      <c r="U9" s="53">
        <v>64603</v>
      </c>
      <c r="V9" s="93">
        <v>0</v>
      </c>
      <c r="W9" s="93">
        <v>2604</v>
      </c>
      <c r="X9" s="93">
        <v>16.399999999999999</v>
      </c>
      <c r="Y9" s="93">
        <v>0</v>
      </c>
      <c r="Z9" s="10">
        <v>2837</v>
      </c>
      <c r="AA9" s="93">
        <v>1335</v>
      </c>
      <c r="AB9" s="58">
        <v>33.799999999999997</v>
      </c>
      <c r="AC9" s="52">
        <f>347.2+634.4+24.9+560.1+375.9+646.5</f>
        <v>2589</v>
      </c>
      <c r="AD9" s="7">
        <f>SUM(108.3,332.3,135,174.7,137)</f>
        <v>887.3</v>
      </c>
      <c r="AE9" s="61">
        <f>SUM(294.7,166,115.6,185.2,99.4)</f>
        <v>860.9</v>
      </c>
      <c r="AF9" s="103">
        <f t="shared" si="0"/>
        <v>82.416515999999987</v>
      </c>
      <c r="AG9" s="104">
        <f t="shared" si="1"/>
        <v>32.6586</v>
      </c>
      <c r="AH9" s="105">
        <f t="shared" si="2"/>
        <v>32.338553699999999</v>
      </c>
      <c r="AI9" s="71">
        <f t="shared" si="3"/>
        <v>147.41366969999999</v>
      </c>
      <c r="AW9" s="31"/>
    </row>
    <row r="10" spans="1:53" x14ac:dyDescent="0.25">
      <c r="A10" s="124" t="s">
        <v>3</v>
      </c>
      <c r="B10" s="46">
        <v>1897</v>
      </c>
      <c r="C10" s="163">
        <v>9868</v>
      </c>
      <c r="D10" s="3">
        <v>0</v>
      </c>
      <c r="E10" s="3">
        <v>0</v>
      </c>
      <c r="F10" s="3">
        <v>4976</v>
      </c>
      <c r="G10" s="7">
        <v>535</v>
      </c>
      <c r="H10" s="54">
        <v>13800</v>
      </c>
      <c r="I10" s="81">
        <v>11180</v>
      </c>
      <c r="J10" s="7">
        <v>682</v>
      </c>
      <c r="K10" s="10">
        <v>20710</v>
      </c>
      <c r="L10" s="10">
        <v>2148</v>
      </c>
      <c r="M10" s="3">
        <v>9053</v>
      </c>
      <c r="N10" s="8">
        <v>37</v>
      </c>
      <c r="O10" s="58">
        <v>1027</v>
      </c>
      <c r="P10" s="128">
        <v>5161</v>
      </c>
      <c r="Q10" s="7">
        <v>789</v>
      </c>
      <c r="R10" s="46">
        <v>2924</v>
      </c>
      <c r="S10" s="93">
        <v>583</v>
      </c>
      <c r="T10" s="58">
        <v>0</v>
      </c>
      <c r="U10" s="53">
        <v>89937</v>
      </c>
      <c r="V10" s="93">
        <v>0</v>
      </c>
      <c r="W10" s="93">
        <v>2213</v>
      </c>
      <c r="X10" s="93">
        <v>30.8</v>
      </c>
      <c r="Y10" s="93">
        <v>0</v>
      </c>
      <c r="Z10" s="10">
        <v>294</v>
      </c>
      <c r="AA10" s="93">
        <v>1162</v>
      </c>
      <c r="AB10" s="58">
        <v>31.8</v>
      </c>
      <c r="AC10" s="52">
        <f>9.6+601.8+572.4+703.3+593.6+350.2</f>
        <v>2830.8999999999996</v>
      </c>
      <c r="AD10" s="7">
        <v>0</v>
      </c>
      <c r="AE10" s="61">
        <f>SUM(280.8,173.8,133.5,234.8,67.1,259.3,61.4,283.4,186.3,333.2)</f>
        <v>2013.6000000000004</v>
      </c>
      <c r="AF10" s="103">
        <f t="shared" si="0"/>
        <v>79.669862999999992</v>
      </c>
      <c r="AG10" s="104">
        <f t="shared" si="1"/>
        <v>20.882000000000001</v>
      </c>
      <c r="AH10" s="105">
        <f t="shared" si="2"/>
        <v>36.351488000000003</v>
      </c>
      <c r="AI10" s="71">
        <f t="shared" si="3"/>
        <v>136.90335099999999</v>
      </c>
      <c r="AL10" s="12"/>
      <c r="AM10" s="12"/>
      <c r="AW10" s="31"/>
    </row>
    <row r="11" spans="1:53" x14ac:dyDescent="0.25">
      <c r="A11" s="124" t="s">
        <v>4</v>
      </c>
      <c r="B11" s="46">
        <v>1442</v>
      </c>
      <c r="C11" s="163">
        <v>10326</v>
      </c>
      <c r="D11" s="3">
        <v>247</v>
      </c>
      <c r="E11" s="3">
        <v>0</v>
      </c>
      <c r="F11" s="3">
        <v>4779</v>
      </c>
      <c r="G11" s="7">
        <v>69</v>
      </c>
      <c r="H11" s="54">
        <v>15840</v>
      </c>
      <c r="I11" s="81">
        <v>13430</v>
      </c>
      <c r="J11" s="7">
        <v>504</v>
      </c>
      <c r="K11" s="10">
        <v>19730</v>
      </c>
      <c r="L11" s="10">
        <v>2412</v>
      </c>
      <c r="M11" s="3">
        <v>9626</v>
      </c>
      <c r="N11" s="8">
        <v>32</v>
      </c>
      <c r="O11" s="58">
        <v>860</v>
      </c>
      <c r="P11" s="128">
        <v>5947</v>
      </c>
      <c r="Q11" s="7">
        <v>632</v>
      </c>
      <c r="R11" s="46">
        <v>3071</v>
      </c>
      <c r="S11" s="93">
        <v>1799</v>
      </c>
      <c r="T11" s="58">
        <v>0</v>
      </c>
      <c r="U11" s="53">
        <v>0</v>
      </c>
      <c r="V11" s="93">
        <v>0</v>
      </c>
      <c r="W11" s="93">
        <v>2013</v>
      </c>
      <c r="X11" s="93">
        <v>18.100000000000001</v>
      </c>
      <c r="Y11" s="93">
        <v>0</v>
      </c>
      <c r="Z11" s="10">
        <v>375</v>
      </c>
      <c r="AA11" s="93">
        <v>1034</v>
      </c>
      <c r="AB11" s="58">
        <v>32.799999999999997</v>
      </c>
      <c r="AC11" s="52">
        <f>706.8+511.2+593.3+600+705.6</f>
        <v>3116.9</v>
      </c>
      <c r="AD11" s="7">
        <v>0</v>
      </c>
      <c r="AE11" s="61">
        <f>SUM(117.4,327.3,74.4,116.7,165.4,193.2,44.4,200.6,125.7)</f>
        <v>1365.1000000000001</v>
      </c>
      <c r="AF11" s="103">
        <f t="shared" si="0"/>
        <v>41.650654500000002</v>
      </c>
      <c r="AG11" s="104">
        <f t="shared" si="1"/>
        <v>14.198700000000001</v>
      </c>
      <c r="AH11" s="105">
        <f t="shared" si="2"/>
        <v>31.351358000000005</v>
      </c>
      <c r="AI11" s="71">
        <f t="shared" si="3"/>
        <v>87.200712500000009</v>
      </c>
      <c r="AW11" s="31"/>
    </row>
    <row r="12" spans="1:53" x14ac:dyDescent="0.25">
      <c r="A12" s="124" t="s">
        <v>5</v>
      </c>
      <c r="B12" s="46">
        <v>564</v>
      </c>
      <c r="C12" s="163">
        <v>9063</v>
      </c>
      <c r="D12" s="3">
        <v>417</v>
      </c>
      <c r="E12" s="3">
        <v>0</v>
      </c>
      <c r="F12" s="3">
        <v>3541</v>
      </c>
      <c r="G12" s="7">
        <v>57</v>
      </c>
      <c r="H12" s="54">
        <v>15990</v>
      </c>
      <c r="I12" s="81">
        <v>13120</v>
      </c>
      <c r="J12" s="7">
        <v>58</v>
      </c>
      <c r="K12" s="10">
        <v>14740</v>
      </c>
      <c r="L12" s="10">
        <v>2022</v>
      </c>
      <c r="M12" s="3">
        <v>5625</v>
      </c>
      <c r="N12" s="8">
        <v>3</v>
      </c>
      <c r="O12" s="58">
        <v>443</v>
      </c>
      <c r="P12" s="128">
        <v>5718</v>
      </c>
      <c r="Q12" s="7">
        <v>290</v>
      </c>
      <c r="R12" s="46">
        <v>1928</v>
      </c>
      <c r="S12" s="93">
        <v>1597</v>
      </c>
      <c r="T12" s="58">
        <v>0</v>
      </c>
      <c r="U12" s="53">
        <v>0</v>
      </c>
      <c r="V12" s="93">
        <v>0</v>
      </c>
      <c r="W12" s="93">
        <v>1873</v>
      </c>
      <c r="X12" s="93">
        <v>17.7</v>
      </c>
      <c r="Y12" s="93">
        <v>0</v>
      </c>
      <c r="Z12" s="10">
        <v>320</v>
      </c>
      <c r="AA12" s="93">
        <v>916</v>
      </c>
      <c r="AB12" s="58">
        <v>36.1</v>
      </c>
      <c r="AC12" s="52">
        <f>450+615.7+653.7+575.3+581.3</f>
        <v>2876</v>
      </c>
      <c r="AD12" s="7">
        <v>0</v>
      </c>
      <c r="AE12" s="47">
        <f>SUM(417.9,176.5,49.6,51.6,92.3,417.7,192.8,70.6,14.4,28.9)</f>
        <v>1512.3</v>
      </c>
      <c r="AF12" s="103">
        <f t="shared" si="0"/>
        <v>35.201894000000003</v>
      </c>
      <c r="AG12" s="104">
        <f t="shared" si="1"/>
        <v>5.1516000000000002</v>
      </c>
      <c r="AH12" s="105">
        <f t="shared" si="2"/>
        <v>31.500813999999998</v>
      </c>
      <c r="AI12" s="71">
        <f t="shared" si="3"/>
        <v>71.854308000000003</v>
      </c>
      <c r="AW12" s="31"/>
    </row>
    <row r="13" spans="1:53" x14ac:dyDescent="0.25">
      <c r="A13" s="124" t="s">
        <v>6</v>
      </c>
      <c r="B13" s="46">
        <v>86</v>
      </c>
      <c r="C13" s="163">
        <v>8674</v>
      </c>
      <c r="D13" s="3">
        <v>2471</v>
      </c>
      <c r="E13" s="3">
        <v>0</v>
      </c>
      <c r="F13" s="3">
        <v>2802</v>
      </c>
      <c r="G13" s="7">
        <v>18</v>
      </c>
      <c r="H13" s="54">
        <v>13140</v>
      </c>
      <c r="I13" s="81">
        <v>11010</v>
      </c>
      <c r="J13" s="7">
        <v>0</v>
      </c>
      <c r="K13" s="10">
        <v>11680</v>
      </c>
      <c r="L13" s="10">
        <v>1998</v>
      </c>
      <c r="M13" s="3">
        <v>3650</v>
      </c>
      <c r="N13" s="8">
        <v>1</v>
      </c>
      <c r="O13" s="58">
        <v>159</v>
      </c>
      <c r="P13" s="128">
        <v>6923</v>
      </c>
      <c r="Q13" s="7">
        <v>164</v>
      </c>
      <c r="R13" s="46">
        <v>2057</v>
      </c>
      <c r="S13" s="93">
        <v>1096</v>
      </c>
      <c r="T13" s="58">
        <v>0</v>
      </c>
      <c r="U13" s="53">
        <v>20802</v>
      </c>
      <c r="V13" s="93">
        <v>0</v>
      </c>
      <c r="W13" s="93">
        <v>1469</v>
      </c>
      <c r="X13" s="93">
        <v>25.8</v>
      </c>
      <c r="Y13" s="93">
        <v>0</v>
      </c>
      <c r="Z13" s="10">
        <v>372</v>
      </c>
      <c r="AA13" s="93">
        <v>836</v>
      </c>
      <c r="AB13" s="58">
        <v>35.1</v>
      </c>
      <c r="AC13" s="52">
        <f>450.3+515.2+450+400.1+555.8+359.1</f>
        <v>2730.4999999999995</v>
      </c>
      <c r="AD13" s="7">
        <v>0</v>
      </c>
      <c r="AE13" s="62">
        <f>SUM(148.5,65.6,174.8,82.1,128.5,146.6,169.5,98.7,225.4)</f>
        <v>1239.7</v>
      </c>
      <c r="AF13" s="103">
        <f t="shared" si="0"/>
        <v>40.585954500000007</v>
      </c>
      <c r="AG13" s="104">
        <f t="shared" si="1"/>
        <v>1.4257</v>
      </c>
      <c r="AH13" s="105">
        <f t="shared" si="2"/>
        <v>27.910945999999996</v>
      </c>
      <c r="AI13" s="71">
        <f t="shared" si="3"/>
        <v>69.922600500000001</v>
      </c>
      <c r="AW13" s="31"/>
    </row>
    <row r="14" spans="1:53" x14ac:dyDescent="0.25">
      <c r="A14" s="124" t="s">
        <v>7</v>
      </c>
      <c r="B14" s="46">
        <v>0</v>
      </c>
      <c r="C14" s="163">
        <v>8679</v>
      </c>
      <c r="D14" s="3">
        <v>1340</v>
      </c>
      <c r="E14" s="3">
        <v>0</v>
      </c>
      <c r="F14" s="3">
        <v>2065</v>
      </c>
      <c r="G14" s="7">
        <v>2</v>
      </c>
      <c r="H14" s="54">
        <v>13730</v>
      </c>
      <c r="I14" s="81">
        <v>9510</v>
      </c>
      <c r="J14" s="7">
        <v>0</v>
      </c>
      <c r="K14" s="10">
        <v>10020</v>
      </c>
      <c r="L14" s="10">
        <v>2012</v>
      </c>
      <c r="M14" s="3">
        <v>1360</v>
      </c>
      <c r="N14" s="8">
        <v>0</v>
      </c>
      <c r="O14" s="58">
        <v>57.4</v>
      </c>
      <c r="P14" s="128">
        <v>7797</v>
      </c>
      <c r="Q14" s="7">
        <v>162</v>
      </c>
      <c r="R14" s="46">
        <v>1465</v>
      </c>
      <c r="S14" s="93">
        <v>155</v>
      </c>
      <c r="T14" s="58">
        <v>0</v>
      </c>
      <c r="U14" s="53">
        <v>0</v>
      </c>
      <c r="V14" s="93">
        <v>0</v>
      </c>
      <c r="W14" s="93">
        <v>1750</v>
      </c>
      <c r="X14" s="93">
        <v>24.6</v>
      </c>
      <c r="Y14" s="93">
        <v>0</v>
      </c>
      <c r="Z14" s="10">
        <v>494</v>
      </c>
      <c r="AA14" s="93">
        <v>906</v>
      </c>
      <c r="AB14" s="58">
        <v>35.299999999999997</v>
      </c>
      <c r="AC14" s="52">
        <f>227.5+312.5+500.2+295.2+574.7+552.7+573.3+486.8+289.6</f>
        <v>3812.5000000000005</v>
      </c>
      <c r="AD14" s="7">
        <v>0</v>
      </c>
      <c r="AE14" s="47">
        <f>SUM(378.6,158.1,226.3,147.7,260.8,68,216.8,123.4,101.3,149.4)</f>
        <v>1830.4</v>
      </c>
      <c r="AF14" s="103">
        <f t="shared" si="0"/>
        <v>27.937136500000001</v>
      </c>
      <c r="AG14" s="104">
        <f t="shared" si="1"/>
        <v>0.86919999999999997</v>
      </c>
      <c r="AH14" s="105">
        <f t="shared" si="2"/>
        <v>39.983472000000006</v>
      </c>
      <c r="AI14" s="71">
        <f t="shared" si="3"/>
        <v>68.789808500000007</v>
      </c>
      <c r="AW14" s="31"/>
    </row>
    <row r="15" spans="1:53" x14ac:dyDescent="0.25">
      <c r="A15" s="124" t="s">
        <v>8</v>
      </c>
      <c r="B15" s="46">
        <v>0</v>
      </c>
      <c r="C15" s="163">
        <v>9766</v>
      </c>
      <c r="D15" s="3">
        <v>1536</v>
      </c>
      <c r="E15" s="3">
        <v>0</v>
      </c>
      <c r="F15" s="3">
        <v>1875</v>
      </c>
      <c r="G15" s="7">
        <v>1</v>
      </c>
      <c r="H15" s="54">
        <v>14030</v>
      </c>
      <c r="I15" s="81">
        <v>8030</v>
      </c>
      <c r="J15" s="7">
        <v>0</v>
      </c>
      <c r="K15" s="10">
        <v>10740</v>
      </c>
      <c r="L15" s="10">
        <v>1724</v>
      </c>
      <c r="M15" s="3">
        <v>1542</v>
      </c>
      <c r="N15" s="8">
        <v>0</v>
      </c>
      <c r="O15" s="58">
        <v>55.5</v>
      </c>
      <c r="P15" s="128">
        <v>8427</v>
      </c>
      <c r="Q15" s="7">
        <v>216</v>
      </c>
      <c r="R15" s="46">
        <v>1274</v>
      </c>
      <c r="S15" s="93">
        <v>0</v>
      </c>
      <c r="T15" s="58">
        <v>0</v>
      </c>
      <c r="U15" s="53">
        <v>0</v>
      </c>
      <c r="V15" s="93">
        <v>0</v>
      </c>
      <c r="W15" s="93">
        <v>2069</v>
      </c>
      <c r="X15" s="93">
        <v>21.7</v>
      </c>
      <c r="Y15" s="93">
        <v>0</v>
      </c>
      <c r="Z15" s="10">
        <v>462</v>
      </c>
      <c r="AA15" s="93">
        <v>1130</v>
      </c>
      <c r="AB15" s="58">
        <v>36.1</v>
      </c>
      <c r="AC15" s="52">
        <f>529.5+375.9+462.7+600.1+505.1</f>
        <v>2473.2999999999997</v>
      </c>
      <c r="AD15" s="7">
        <v>0</v>
      </c>
      <c r="AE15" s="47">
        <f>SUM(42.4,85.1,338.1,284.9,150,44.6,347.7,123,109.6,422)</f>
        <v>1947.3999999999999</v>
      </c>
      <c r="AF15" s="103">
        <f t="shared" si="0"/>
        <v>28.536826499999997</v>
      </c>
      <c r="AG15" s="104">
        <f t="shared" si="1"/>
        <v>1.1500999999999999</v>
      </c>
      <c r="AH15" s="105">
        <f t="shared" si="2"/>
        <v>33.675011999999995</v>
      </c>
      <c r="AI15" s="71">
        <f t="shared" si="3"/>
        <v>63.361938499999994</v>
      </c>
      <c r="AW15" s="31"/>
    </row>
    <row r="16" spans="1:53" ht="15.75" thickBot="1" x14ac:dyDescent="0.3">
      <c r="A16" s="124" t="s">
        <v>9</v>
      </c>
      <c r="B16" s="46">
        <v>51</v>
      </c>
      <c r="C16" s="163">
        <v>8631</v>
      </c>
      <c r="D16" s="3">
        <v>16.8</v>
      </c>
      <c r="E16" s="3">
        <v>0</v>
      </c>
      <c r="F16" s="3">
        <v>1898</v>
      </c>
      <c r="G16" s="7">
        <v>39</v>
      </c>
      <c r="H16" s="54">
        <v>12460</v>
      </c>
      <c r="I16" s="81">
        <v>7260</v>
      </c>
      <c r="J16" s="7">
        <v>0</v>
      </c>
      <c r="K16" s="10">
        <v>9560</v>
      </c>
      <c r="L16" s="10">
        <v>1947</v>
      </c>
      <c r="M16" s="3">
        <v>1434</v>
      </c>
      <c r="N16" s="8">
        <v>1</v>
      </c>
      <c r="O16" s="58">
        <v>158</v>
      </c>
      <c r="P16" s="128">
        <v>7683</v>
      </c>
      <c r="Q16" s="7">
        <v>202</v>
      </c>
      <c r="R16" s="46">
        <v>1620</v>
      </c>
      <c r="S16" s="93">
        <v>0</v>
      </c>
      <c r="T16" s="58">
        <v>0</v>
      </c>
      <c r="U16" s="53">
        <v>0</v>
      </c>
      <c r="V16" s="93">
        <v>0</v>
      </c>
      <c r="W16" s="93">
        <v>2332</v>
      </c>
      <c r="X16" s="93">
        <v>26.2</v>
      </c>
      <c r="Y16" s="93">
        <v>0</v>
      </c>
      <c r="Z16" s="10">
        <v>456</v>
      </c>
      <c r="AA16" s="93">
        <v>1280</v>
      </c>
      <c r="AB16" s="58">
        <v>34</v>
      </c>
      <c r="AC16" s="52">
        <f>736.4+400+578.8+600.2+91.2+488.9+586.7</f>
        <v>3482.2</v>
      </c>
      <c r="AD16" s="7">
        <v>0</v>
      </c>
      <c r="AE16" s="47">
        <f>SUM(332.8,68.4,222.8,262.4,283.9,317.4,38.3,72.9,104.8,156.5)</f>
        <v>1860.1999999999998</v>
      </c>
      <c r="AF16" s="103">
        <f t="shared" si="0"/>
        <v>25.842179999999999</v>
      </c>
      <c r="AG16" s="104">
        <f t="shared" si="1"/>
        <v>1.5528999999999999</v>
      </c>
      <c r="AH16" s="105">
        <f t="shared" si="2"/>
        <v>38.437156000000002</v>
      </c>
      <c r="AI16" s="71">
        <f t="shared" si="3"/>
        <v>65.832235999999995</v>
      </c>
      <c r="AK16" s="36" t="s">
        <v>109</v>
      </c>
      <c r="AL16" s="36"/>
      <c r="AM16" s="94"/>
      <c r="AW16" s="31"/>
    </row>
    <row r="17" spans="1:54" ht="15.75" thickBot="1" x14ac:dyDescent="0.3">
      <c r="A17" s="124" t="s">
        <v>10</v>
      </c>
      <c r="B17" s="46">
        <v>581</v>
      </c>
      <c r="C17" s="163">
        <v>7875</v>
      </c>
      <c r="D17" s="3">
        <v>893</v>
      </c>
      <c r="E17" s="3">
        <v>0</v>
      </c>
      <c r="F17" s="3">
        <v>2217</v>
      </c>
      <c r="G17" s="7">
        <v>56</v>
      </c>
      <c r="H17" s="54">
        <v>14250</v>
      </c>
      <c r="I17" s="81">
        <v>5730</v>
      </c>
      <c r="J17" s="7">
        <v>0</v>
      </c>
      <c r="K17" s="10">
        <v>9760</v>
      </c>
      <c r="L17" s="10">
        <v>1846</v>
      </c>
      <c r="M17" s="3">
        <v>4819</v>
      </c>
      <c r="N17" s="8">
        <v>24</v>
      </c>
      <c r="O17" s="58">
        <v>494</v>
      </c>
      <c r="P17" s="128">
        <v>5935</v>
      </c>
      <c r="Q17" s="7">
        <v>329</v>
      </c>
      <c r="R17" s="46">
        <v>1853</v>
      </c>
      <c r="S17" s="93">
        <v>0</v>
      </c>
      <c r="T17" s="58">
        <v>0</v>
      </c>
      <c r="U17" s="53">
        <v>0</v>
      </c>
      <c r="V17" s="93">
        <v>0</v>
      </c>
      <c r="W17" s="93">
        <v>2751</v>
      </c>
      <c r="X17" s="93">
        <v>34.4</v>
      </c>
      <c r="Y17" s="93">
        <v>0</v>
      </c>
      <c r="Z17" s="10">
        <v>845</v>
      </c>
      <c r="AA17" s="93">
        <v>1458</v>
      </c>
      <c r="AB17" s="58">
        <v>33.4</v>
      </c>
      <c r="AC17" s="52">
        <f>536.9+699.9+675.4</f>
        <v>1912.1999999999998</v>
      </c>
      <c r="AD17" s="7">
        <f>SUM(458.9,512.8,222.6,122,254.2)</f>
        <v>1570.5</v>
      </c>
      <c r="AE17" s="47">
        <f>320.5+71.4+371+228.3</f>
        <v>991.2</v>
      </c>
      <c r="AF17" s="103">
        <f t="shared" si="0"/>
        <v>27.661179000000001</v>
      </c>
      <c r="AG17" s="104">
        <f t="shared" si="1"/>
        <v>5.2469999999999999</v>
      </c>
      <c r="AH17" s="105">
        <f t="shared" si="2"/>
        <v>36.863380500000005</v>
      </c>
      <c r="AI17" s="71">
        <f t="shared" si="3"/>
        <v>69.771559500000009</v>
      </c>
      <c r="AK17" s="101" t="s">
        <v>17</v>
      </c>
      <c r="AL17" s="121" t="s">
        <v>108</v>
      </c>
      <c r="AM17" s="102" t="s">
        <v>110</v>
      </c>
      <c r="AW17" s="31"/>
    </row>
    <row r="18" spans="1:54" x14ac:dyDescent="0.25">
      <c r="A18" s="124" t="s">
        <v>11</v>
      </c>
      <c r="B18" s="46">
        <v>1825</v>
      </c>
      <c r="C18" s="163">
        <v>8627</v>
      </c>
      <c r="D18" s="3">
        <v>870</v>
      </c>
      <c r="E18" s="3">
        <v>54.8</v>
      </c>
      <c r="F18" s="3">
        <v>3651</v>
      </c>
      <c r="G18" s="7">
        <v>74</v>
      </c>
      <c r="H18" s="54">
        <v>14340</v>
      </c>
      <c r="I18" s="81">
        <v>8480</v>
      </c>
      <c r="J18" s="7">
        <v>0</v>
      </c>
      <c r="K18" s="10">
        <v>15470</v>
      </c>
      <c r="L18" s="10">
        <v>2027</v>
      </c>
      <c r="M18" s="3">
        <v>7082</v>
      </c>
      <c r="N18" s="8">
        <v>42</v>
      </c>
      <c r="O18" s="58">
        <v>798</v>
      </c>
      <c r="P18" s="128">
        <v>5606</v>
      </c>
      <c r="Q18" s="7">
        <v>661</v>
      </c>
      <c r="R18" s="46">
        <v>2499</v>
      </c>
      <c r="S18" s="93">
        <v>0</v>
      </c>
      <c r="T18" s="58">
        <v>0</v>
      </c>
      <c r="U18" s="53">
        <v>0</v>
      </c>
      <c r="V18" s="93">
        <v>0</v>
      </c>
      <c r="W18" s="93">
        <v>2993</v>
      </c>
      <c r="X18" s="93">
        <v>32.1</v>
      </c>
      <c r="Y18" s="93">
        <v>0</v>
      </c>
      <c r="Z18" s="10">
        <v>1141</v>
      </c>
      <c r="AA18" s="93">
        <v>1605</v>
      </c>
      <c r="AB18" s="58">
        <v>32.6</v>
      </c>
      <c r="AC18" s="52">
        <f>574.8+525.4+700.8+799.7+96</f>
        <v>2696.7</v>
      </c>
      <c r="AD18" s="7">
        <f>SUM(437.5,61.8,252,198.1,231.1,316.3,142.5,127.7)</f>
        <v>1767</v>
      </c>
      <c r="AE18" s="47">
        <v>0</v>
      </c>
      <c r="AF18" s="103">
        <f t="shared" si="0"/>
        <v>34.265367500000004</v>
      </c>
      <c r="AG18" s="104">
        <f t="shared" si="1"/>
        <v>13.7906</v>
      </c>
      <c r="AH18" s="105">
        <f t="shared" si="2"/>
        <v>33.176163000000003</v>
      </c>
      <c r="AI18" s="71">
        <f t="shared" si="3"/>
        <v>81.232130500000011</v>
      </c>
      <c r="AK18" s="97" t="s">
        <v>104</v>
      </c>
      <c r="AL18" s="95">
        <v>199585</v>
      </c>
      <c r="AM18" s="108" t="s">
        <v>18</v>
      </c>
      <c r="AW18" s="31"/>
    </row>
    <row r="19" spans="1:54" x14ac:dyDescent="0.25">
      <c r="A19" s="125" t="s">
        <v>14</v>
      </c>
      <c r="B19" s="88">
        <f t="shared" ref="B19:AI19" si="4">SUM(B7:B18)</f>
        <v>12829</v>
      </c>
      <c r="C19" s="91">
        <f t="shared" si="4"/>
        <v>115763</v>
      </c>
      <c r="D19" s="89">
        <f t="shared" si="4"/>
        <v>8050</v>
      </c>
      <c r="E19" s="89">
        <f t="shared" si="4"/>
        <v>265.8</v>
      </c>
      <c r="F19" s="89">
        <f t="shared" si="4"/>
        <v>44443</v>
      </c>
      <c r="G19" s="89">
        <f t="shared" si="4"/>
        <v>7518</v>
      </c>
      <c r="H19" s="90">
        <f t="shared" si="4"/>
        <v>177180</v>
      </c>
      <c r="I19" s="91">
        <f t="shared" si="4"/>
        <v>136100</v>
      </c>
      <c r="J19" s="89">
        <f t="shared" si="4"/>
        <v>4003</v>
      </c>
      <c r="K19" s="89">
        <f t="shared" si="4"/>
        <v>185930</v>
      </c>
      <c r="L19" s="89">
        <f t="shared" si="4"/>
        <v>25839</v>
      </c>
      <c r="M19" s="89">
        <f t="shared" si="4"/>
        <v>79383.645000000004</v>
      </c>
      <c r="N19" s="90">
        <f t="shared" si="4"/>
        <v>226</v>
      </c>
      <c r="O19" s="91">
        <f t="shared" si="4"/>
        <v>7509.9</v>
      </c>
      <c r="P19" s="88">
        <f t="shared" si="4"/>
        <v>76095</v>
      </c>
      <c r="Q19" s="89">
        <f t="shared" si="4"/>
        <v>6563</v>
      </c>
      <c r="R19" s="88">
        <f t="shared" si="4"/>
        <v>30268</v>
      </c>
      <c r="S19" s="89">
        <f t="shared" si="4"/>
        <v>6036.9</v>
      </c>
      <c r="T19" s="90">
        <f t="shared" si="4"/>
        <v>0</v>
      </c>
      <c r="U19" s="88">
        <f t="shared" si="4"/>
        <v>175342</v>
      </c>
      <c r="V19" s="89">
        <f t="shared" si="4"/>
        <v>0</v>
      </c>
      <c r="W19" s="89">
        <f t="shared" si="4"/>
        <v>28224</v>
      </c>
      <c r="X19" s="89">
        <f t="shared" si="4"/>
        <v>283</v>
      </c>
      <c r="Y19" s="89">
        <f t="shared" si="4"/>
        <v>0</v>
      </c>
      <c r="Z19" s="89">
        <f t="shared" si="4"/>
        <v>10847</v>
      </c>
      <c r="AA19" s="89">
        <f t="shared" si="4"/>
        <v>14698</v>
      </c>
      <c r="AB19" s="90">
        <f t="shared" si="4"/>
        <v>408.6</v>
      </c>
      <c r="AC19" s="88">
        <f t="shared" si="4"/>
        <v>32507.399999999998</v>
      </c>
      <c r="AD19" s="89">
        <f t="shared" si="4"/>
        <v>9396</v>
      </c>
      <c r="AE19" s="90">
        <f t="shared" si="4"/>
        <v>14052</v>
      </c>
      <c r="AF19" s="106">
        <f t="shared" si="4"/>
        <v>510.813414475</v>
      </c>
      <c r="AG19" s="107">
        <f t="shared" si="4"/>
        <v>165.03670000000002</v>
      </c>
      <c r="AH19" s="107">
        <f t="shared" si="4"/>
        <v>421.20248400000003</v>
      </c>
      <c r="AI19" s="92">
        <f t="shared" si="4"/>
        <v>1097.0525984749997</v>
      </c>
      <c r="AK19" s="98" t="s">
        <v>105</v>
      </c>
      <c r="AL19" s="96">
        <v>175870</v>
      </c>
      <c r="AM19" s="109" t="s">
        <v>18</v>
      </c>
      <c r="AW19" s="31"/>
    </row>
    <row r="20" spans="1:54" ht="15.75" thickBot="1" x14ac:dyDescent="0.3">
      <c r="A20" s="126" t="s">
        <v>41</v>
      </c>
      <c r="B20" s="162">
        <v>5.3E-3</v>
      </c>
      <c r="C20" s="82">
        <v>4.55E-4</v>
      </c>
      <c r="D20" s="4">
        <v>4.55E-4</v>
      </c>
      <c r="E20" s="4">
        <v>4.55E-4</v>
      </c>
      <c r="F20" s="4">
        <v>4.55E-4</v>
      </c>
      <c r="G20" s="5">
        <v>5.3E-3</v>
      </c>
      <c r="H20" s="59">
        <v>4.55E-4</v>
      </c>
      <c r="I20" s="82">
        <v>4.55E-4</v>
      </c>
      <c r="J20" s="5">
        <v>5.3E-3</v>
      </c>
      <c r="K20" s="4">
        <v>4.55E-4</v>
      </c>
      <c r="L20" s="4">
        <v>4.55E-4</v>
      </c>
      <c r="M20" s="4">
        <v>4.55E-4</v>
      </c>
      <c r="N20" s="49">
        <v>5.3E-3</v>
      </c>
      <c r="O20" s="82">
        <v>4.55E-4</v>
      </c>
      <c r="P20" s="48">
        <v>4.55E-4</v>
      </c>
      <c r="Q20" s="5">
        <v>5.3E-3</v>
      </c>
      <c r="R20" s="48">
        <v>4.55E-4</v>
      </c>
      <c r="S20" s="4">
        <v>4.55E-4</v>
      </c>
      <c r="T20" s="59">
        <v>4.55E-4</v>
      </c>
      <c r="U20" s="48">
        <v>4.55E-4</v>
      </c>
      <c r="V20" s="4">
        <v>4.55E-4</v>
      </c>
      <c r="W20" s="4">
        <v>4.55E-4</v>
      </c>
      <c r="X20" s="4">
        <v>4.55E-4</v>
      </c>
      <c r="Y20" s="4">
        <v>4.55E-4</v>
      </c>
      <c r="Z20" s="4">
        <v>4.55E-4</v>
      </c>
      <c r="AA20" s="4">
        <v>4.55E-4</v>
      </c>
      <c r="AB20" s="59">
        <v>4.55E-4</v>
      </c>
      <c r="AC20" s="63">
        <v>5.5999999999999999E-3</v>
      </c>
      <c r="AD20" s="5">
        <f>0.010229</f>
        <v>1.0229E-2</v>
      </c>
      <c r="AE20" s="64">
        <f>10.18*10^-3</f>
        <v>1.018E-2</v>
      </c>
      <c r="AF20" s="47">
        <v>1</v>
      </c>
      <c r="AG20" s="83">
        <v>1</v>
      </c>
      <c r="AH20" s="73">
        <v>1</v>
      </c>
      <c r="AI20" s="72">
        <v>1</v>
      </c>
      <c r="AK20" s="53" t="s">
        <v>106</v>
      </c>
      <c r="AL20" s="96">
        <v>81470</v>
      </c>
      <c r="AM20" s="110" t="s">
        <v>18</v>
      </c>
      <c r="AW20" s="27"/>
    </row>
    <row r="21" spans="1:54" ht="16.899999999999999" customHeight="1" thickBot="1" x14ac:dyDescent="0.3">
      <c r="A21" s="127" t="s">
        <v>23</v>
      </c>
      <c r="B21" s="84">
        <f t="shared" ref="B21:AH21" si="5">B19*B20</f>
        <v>67.993700000000004</v>
      </c>
      <c r="C21" s="87">
        <f t="shared" si="5"/>
        <v>52.672165</v>
      </c>
      <c r="D21" s="85">
        <f t="shared" si="5"/>
        <v>3.66275</v>
      </c>
      <c r="E21" s="85">
        <f t="shared" si="5"/>
        <v>0.120939</v>
      </c>
      <c r="F21" s="85">
        <f t="shared" si="5"/>
        <v>20.221565000000002</v>
      </c>
      <c r="G21" s="85">
        <f t="shared" si="5"/>
        <v>39.845399999999998</v>
      </c>
      <c r="H21" s="86">
        <f t="shared" si="5"/>
        <v>80.616900000000001</v>
      </c>
      <c r="I21" s="87">
        <f t="shared" si="5"/>
        <v>61.9255</v>
      </c>
      <c r="J21" s="85">
        <f t="shared" si="5"/>
        <v>21.215900000000001</v>
      </c>
      <c r="K21" s="85">
        <f t="shared" si="5"/>
        <v>84.598150000000004</v>
      </c>
      <c r="L21" s="85">
        <f t="shared" si="5"/>
        <v>11.756745</v>
      </c>
      <c r="M21" s="85">
        <f t="shared" si="5"/>
        <v>36.119558475000005</v>
      </c>
      <c r="N21" s="86">
        <f t="shared" si="5"/>
        <v>1.1978</v>
      </c>
      <c r="O21" s="87">
        <f t="shared" si="5"/>
        <v>3.4170045</v>
      </c>
      <c r="P21" s="84">
        <f t="shared" si="5"/>
        <v>34.623224999999998</v>
      </c>
      <c r="Q21" s="85">
        <f t="shared" si="5"/>
        <v>34.783900000000003</v>
      </c>
      <c r="R21" s="84">
        <f t="shared" si="5"/>
        <v>13.771940000000001</v>
      </c>
      <c r="S21" s="85">
        <f t="shared" si="5"/>
        <v>2.7467894999999998</v>
      </c>
      <c r="T21" s="86">
        <f t="shared" si="5"/>
        <v>0</v>
      </c>
      <c r="U21" s="84">
        <f t="shared" si="5"/>
        <v>79.780609999999996</v>
      </c>
      <c r="V21" s="85">
        <f t="shared" si="5"/>
        <v>0</v>
      </c>
      <c r="W21" s="85">
        <f t="shared" si="5"/>
        <v>12.84192</v>
      </c>
      <c r="X21" s="85">
        <f t="shared" si="5"/>
        <v>0.12876499999999999</v>
      </c>
      <c r="Y21" s="85">
        <f t="shared" si="5"/>
        <v>0</v>
      </c>
      <c r="Z21" s="85">
        <f t="shared" si="5"/>
        <v>4.9353850000000001</v>
      </c>
      <c r="AA21" s="85">
        <f t="shared" si="5"/>
        <v>6.6875900000000001</v>
      </c>
      <c r="AB21" s="86">
        <f t="shared" si="5"/>
        <v>0.18591300000000002</v>
      </c>
      <c r="AC21" s="84">
        <f t="shared" si="5"/>
        <v>182.04143999999999</v>
      </c>
      <c r="AD21" s="85">
        <f t="shared" si="5"/>
        <v>96.111683999999997</v>
      </c>
      <c r="AE21" s="86">
        <f t="shared" si="5"/>
        <v>143.04936000000001</v>
      </c>
      <c r="AF21" s="84">
        <f t="shared" si="5"/>
        <v>510.813414475</v>
      </c>
      <c r="AG21" s="85">
        <f t="shared" si="5"/>
        <v>165.03670000000002</v>
      </c>
      <c r="AH21" s="85">
        <f t="shared" si="5"/>
        <v>421.20248400000003</v>
      </c>
      <c r="AI21" s="74">
        <f>SUM(AF21,AG21,AH21)</f>
        <v>1097.0525984750002</v>
      </c>
      <c r="AK21" s="99" t="s">
        <v>107</v>
      </c>
      <c r="AL21" s="100">
        <f>SUM(AL18:AL20)</f>
        <v>456925</v>
      </c>
      <c r="AM21" s="114">
        <f>(AI21*2204.62/AL21)</f>
        <v>5.2931752468128348</v>
      </c>
      <c r="AW21" s="32"/>
    </row>
    <row r="22" spans="1:54" x14ac:dyDescent="0.2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BB22" s="94"/>
    </row>
    <row r="23" spans="1:54" x14ac:dyDescent="0.25">
      <c r="C23" s="12" t="s">
        <v>123</v>
      </c>
      <c r="G23" s="35" t="s">
        <v>22</v>
      </c>
      <c r="AY23" s="94"/>
    </row>
    <row r="24" spans="1:54" ht="15.6" customHeight="1" x14ac:dyDescent="0.25">
      <c r="C24" t="s">
        <v>124</v>
      </c>
      <c r="G24" s="75" t="s">
        <v>125</v>
      </c>
      <c r="I24" s="75"/>
      <c r="J24" s="75"/>
      <c r="Q24" s="12"/>
      <c r="AY24" s="94"/>
    </row>
    <row r="25" spans="1:54" x14ac:dyDescent="0.25">
      <c r="C25" s="177" t="s">
        <v>161</v>
      </c>
      <c r="M25" t="s">
        <v>112</v>
      </c>
      <c r="P25" s="12"/>
      <c r="Q25" s="12"/>
      <c r="R25" s="12"/>
      <c r="S25" s="12"/>
      <c r="T25" s="12"/>
      <c r="U25" s="12"/>
      <c r="V25" s="12"/>
      <c r="W25" s="12"/>
      <c r="AN25" s="2"/>
      <c r="AY25" s="94"/>
    </row>
    <row r="26" spans="1:54" x14ac:dyDescent="0.25">
      <c r="C26" t="s">
        <v>112</v>
      </c>
      <c r="P26" s="12"/>
      <c r="S26" s="12"/>
      <c r="T26" s="12"/>
      <c r="U26" s="12"/>
      <c r="V26" s="12"/>
      <c r="W26" s="12"/>
      <c r="X26" s="12"/>
      <c r="Y26" s="12"/>
      <c r="Z26" s="12"/>
    </row>
    <row r="27" spans="1:54" x14ac:dyDescent="0.25">
      <c r="P27" s="94"/>
      <c r="Q27" s="20"/>
      <c r="R27" s="20"/>
      <c r="S27" s="94"/>
      <c r="T27" s="94"/>
      <c r="U27" s="12"/>
      <c r="V27" s="12"/>
      <c r="W27" s="12"/>
      <c r="X27" s="12"/>
      <c r="Y27" s="12"/>
      <c r="Z27" s="12"/>
    </row>
    <row r="28" spans="1:54" x14ac:dyDescent="0.25">
      <c r="P28" s="94"/>
      <c r="Q28" s="20"/>
      <c r="R28" s="20"/>
      <c r="S28" s="94"/>
      <c r="T28" s="94"/>
      <c r="U28" s="33"/>
      <c r="V28" s="33"/>
      <c r="W28" s="12"/>
      <c r="X28" s="12"/>
      <c r="Y28" s="12"/>
      <c r="Z28" s="12"/>
    </row>
    <row r="29" spans="1:54" x14ac:dyDescent="0.25">
      <c r="P29" s="12"/>
      <c r="S29" s="12"/>
      <c r="T29" s="12"/>
      <c r="U29" s="12"/>
      <c r="V29" s="12"/>
      <c r="W29" s="12"/>
      <c r="X29" s="12"/>
      <c r="Y29" s="12"/>
      <c r="Z29" s="12"/>
    </row>
    <row r="30" spans="1:54" x14ac:dyDescent="0.25">
      <c r="B30" s="12"/>
      <c r="C30" s="12"/>
      <c r="D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R30" s="12"/>
      <c r="S30" s="12"/>
      <c r="T30" s="12"/>
      <c r="U30" s="12"/>
      <c r="V30" s="12"/>
      <c r="W30" s="12"/>
      <c r="X30" s="12"/>
      <c r="Y30" s="12"/>
    </row>
    <row r="31" spans="1:54" x14ac:dyDescent="0.25">
      <c r="A31" s="9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R31" s="12"/>
      <c r="S31" s="12"/>
      <c r="T31" s="12"/>
      <c r="U31" s="12"/>
      <c r="V31" s="12"/>
      <c r="W31" s="12"/>
      <c r="X31" s="12"/>
      <c r="Y31" s="12"/>
    </row>
    <row r="32" spans="1:54" x14ac:dyDescent="0.25">
      <c r="A32" s="2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R32" s="12"/>
      <c r="S32" s="12"/>
      <c r="T32" s="12"/>
      <c r="U32" s="12"/>
      <c r="V32" s="12"/>
      <c r="W32" s="12"/>
      <c r="X32" s="12"/>
      <c r="Y32" s="12"/>
    </row>
    <row r="33" spans="1:25" x14ac:dyDescent="0.25">
      <c r="A33" s="9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20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20"/>
      <c r="R35" s="12"/>
      <c r="S35" s="12"/>
      <c r="T35" s="12"/>
      <c r="U35" s="12"/>
      <c r="V35" s="12"/>
      <c r="W35" s="12"/>
      <c r="X35" s="12"/>
      <c r="Y35" s="12"/>
    </row>
    <row r="36" spans="1:25" x14ac:dyDescent="0.25">
      <c r="R36" s="12"/>
      <c r="S36" s="12"/>
      <c r="T36" s="12"/>
      <c r="U36" s="12"/>
      <c r="V36" s="12"/>
      <c r="W36" s="12"/>
      <c r="X36" s="12"/>
      <c r="Y36" s="12"/>
    </row>
    <row r="37" spans="1:25" x14ac:dyDescent="0.25">
      <c r="R37" s="12"/>
      <c r="S37" s="12"/>
      <c r="T37" s="12"/>
      <c r="U37" s="12"/>
      <c r="V37" s="12"/>
      <c r="W37" s="12"/>
      <c r="X37" s="12"/>
      <c r="Y37" s="12"/>
    </row>
    <row r="38" spans="1:25" x14ac:dyDescent="0.25">
      <c r="R38" s="12"/>
      <c r="S38" s="12"/>
      <c r="T38" s="12"/>
      <c r="U38" s="12"/>
      <c r="V38" s="12"/>
      <c r="W38" s="12"/>
      <c r="X38" s="12"/>
      <c r="Y38" s="12"/>
    </row>
    <row r="39" spans="1:25" x14ac:dyDescent="0.25">
      <c r="R39" s="12"/>
      <c r="S39" s="12"/>
      <c r="T39" s="12"/>
      <c r="U39" s="12"/>
      <c r="V39" s="12"/>
      <c r="W39" s="12"/>
      <c r="X39" s="12"/>
      <c r="Y39" s="12"/>
    </row>
  </sheetData>
  <mergeCells count="8">
    <mergeCell ref="B1:H1"/>
    <mergeCell ref="AC1:AE1"/>
    <mergeCell ref="AF1:AI1"/>
    <mergeCell ref="AM1:AW1"/>
    <mergeCell ref="I1:N1"/>
    <mergeCell ref="P1:Q1"/>
    <mergeCell ref="R1:T1"/>
    <mergeCell ref="U1:AB1"/>
  </mergeCells>
  <hyperlinks>
    <hyperlink ref="G24" r:id="rId1"/>
    <hyperlink ref="G23" r:id="rId2"/>
  </hyperlinks>
  <pageMargins left="0.7" right="0.7" top="0.75" bottom="0.75" header="0.3" footer="0.3"/>
  <pageSetup paperSize="17" orientation="landscape" r:id="rId3"/>
  <headerFooter>
    <oddHeader>&amp;L&amp;"-,Bold"&amp;14Duluth Seaway Port Authority&amp;C&amp;"-,Bold"&amp;14Green Marine Greenhouse Gas Emisions &amp;R&amp;"-,Bold"&amp;14 2015</oddHead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opLeftCell="A19" zoomScaleNormal="100" workbookViewId="0">
      <selection activeCell="K47" sqref="K47"/>
    </sheetView>
  </sheetViews>
  <sheetFormatPr defaultRowHeight="15" x14ac:dyDescent="0.25"/>
  <cols>
    <col min="4" max="4" width="14.28515625" customWidth="1"/>
    <col min="9" max="9" width="30.28515625" bestFit="1" customWidth="1"/>
    <col min="12" max="12" width="9.28515625" customWidth="1"/>
    <col min="13" max="13" width="10.42578125" customWidth="1"/>
    <col min="18" max="18" width="8" customWidth="1"/>
    <col min="19" max="19" width="42.7109375" customWidth="1"/>
    <col min="22" max="22" width="40.28515625" bestFit="1" customWidth="1"/>
    <col min="23" max="23" width="34.5703125" bestFit="1" customWidth="1"/>
    <col min="24" max="24" width="28" bestFit="1" customWidth="1"/>
    <col min="36" max="36" width="34.5703125" bestFit="1" customWidth="1"/>
  </cols>
  <sheetData>
    <row r="1" spans="9:37" ht="15.75" thickBot="1" x14ac:dyDescent="0.3"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9:37" ht="15.75" thickBot="1" x14ac:dyDescent="0.3">
      <c r="I2" s="118" t="s">
        <v>118</v>
      </c>
      <c r="J2" s="119" t="s">
        <v>117</v>
      </c>
      <c r="K2" s="170" t="s">
        <v>162</v>
      </c>
      <c r="V2" s="118" t="s">
        <v>157</v>
      </c>
      <c r="W2" s="119" t="s">
        <v>117</v>
      </c>
      <c r="X2" t="s">
        <v>154</v>
      </c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9:37" x14ac:dyDescent="0.25">
      <c r="I3" s="116">
        <f>'2017'!AJ21</f>
        <v>4.8568734359033066</v>
      </c>
      <c r="J3" s="117">
        <v>2017</v>
      </c>
      <c r="K3" s="171"/>
      <c r="V3" s="116"/>
      <c r="W3" s="117">
        <v>2017</v>
      </c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9:37" x14ac:dyDescent="0.25">
      <c r="I4" s="116">
        <f>'2018'!AJ21</f>
        <v>5.9597351634729145</v>
      </c>
      <c r="J4" s="58">
        <v>2018</v>
      </c>
      <c r="K4" s="172">
        <f>(I4/I3)-1</f>
        <v>0.22707236293557886</v>
      </c>
      <c r="V4" s="116"/>
      <c r="W4" s="58">
        <v>2018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9:37" x14ac:dyDescent="0.25">
      <c r="I5" s="116">
        <f>'2019'!AM21</f>
        <v>3.7010525046659573</v>
      </c>
      <c r="J5" s="58">
        <v>2019</v>
      </c>
      <c r="K5" s="173">
        <f t="shared" ref="K5:K16" si="0">(I5/I4)-1</f>
        <v>-0.37899044116093838</v>
      </c>
      <c r="V5" s="116"/>
      <c r="W5" s="58">
        <v>2019</v>
      </c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</row>
    <row r="6" spans="9:37" x14ac:dyDescent="0.25">
      <c r="I6" s="116">
        <f>'2020'!AM21</f>
        <v>3.0549918532923095</v>
      </c>
      <c r="J6" s="58">
        <v>2020</v>
      </c>
      <c r="K6" s="173">
        <f t="shared" si="0"/>
        <v>-0.17456133101574545</v>
      </c>
      <c r="V6" s="116"/>
      <c r="W6" s="58">
        <v>2020</v>
      </c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9:37" x14ac:dyDescent="0.25">
      <c r="I7" s="116">
        <f>'2021'!AM21</f>
        <v>6.2392220593645034</v>
      </c>
      <c r="J7" s="58">
        <v>2021</v>
      </c>
      <c r="K7" s="172">
        <f t="shared" si="0"/>
        <v>1.0423039926082311</v>
      </c>
      <c r="V7" s="116"/>
      <c r="W7" s="58">
        <v>2021</v>
      </c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9:37" x14ac:dyDescent="0.25">
      <c r="I8" s="116">
        <f>'2022'!AM21</f>
        <v>5.2931752468128348</v>
      </c>
      <c r="J8" s="58">
        <v>2022</v>
      </c>
      <c r="K8" s="173">
        <f t="shared" si="0"/>
        <v>-0.15162896969370376</v>
      </c>
      <c r="V8" s="116"/>
      <c r="W8" s="58">
        <v>2022</v>
      </c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</row>
    <row r="9" spans="9:37" x14ac:dyDescent="0.25">
      <c r="I9" s="116" t="e">
        <f>#REF!</f>
        <v>#REF!</v>
      </c>
      <c r="J9" s="58">
        <v>2023</v>
      </c>
      <c r="K9" s="174" t="e">
        <f t="shared" si="0"/>
        <v>#REF!</v>
      </c>
      <c r="V9" s="116"/>
      <c r="W9" s="58">
        <v>2023</v>
      </c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9:37" x14ac:dyDescent="0.25">
      <c r="I10" s="116" t="e">
        <f>#REF!</f>
        <v>#REF!</v>
      </c>
      <c r="J10" s="58">
        <v>2024</v>
      </c>
      <c r="K10" s="174" t="e">
        <f t="shared" si="0"/>
        <v>#REF!</v>
      </c>
      <c r="V10" s="116"/>
      <c r="W10" s="58">
        <v>2024</v>
      </c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</row>
    <row r="11" spans="9:37" x14ac:dyDescent="0.25">
      <c r="I11" s="116" t="e">
        <f>#REF!</f>
        <v>#REF!</v>
      </c>
      <c r="J11" s="58">
        <v>2025</v>
      </c>
      <c r="K11" s="174" t="e">
        <f t="shared" si="0"/>
        <v>#REF!</v>
      </c>
      <c r="V11" s="116"/>
      <c r="W11" s="58">
        <v>2025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</row>
    <row r="12" spans="9:37" x14ac:dyDescent="0.25">
      <c r="I12" s="116" t="e">
        <f>#REF!</f>
        <v>#REF!</v>
      </c>
      <c r="J12" s="58">
        <v>2026</v>
      </c>
      <c r="K12" s="174" t="e">
        <f t="shared" si="0"/>
        <v>#REF!</v>
      </c>
      <c r="V12" s="116"/>
      <c r="W12" s="58">
        <v>2026</v>
      </c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</row>
    <row r="13" spans="9:37" x14ac:dyDescent="0.25">
      <c r="I13" s="116" t="e">
        <f>#REF!</f>
        <v>#REF!</v>
      </c>
      <c r="J13" s="58">
        <v>2027</v>
      </c>
      <c r="K13" s="174" t="e">
        <f t="shared" si="0"/>
        <v>#REF!</v>
      </c>
      <c r="V13" s="116"/>
      <c r="W13" s="58">
        <v>2027</v>
      </c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</row>
    <row r="14" spans="9:37" x14ac:dyDescent="0.25">
      <c r="I14" s="116" t="e">
        <f>#REF!</f>
        <v>#REF!</v>
      </c>
      <c r="J14" s="58">
        <v>2028</v>
      </c>
      <c r="K14" s="174" t="e">
        <f t="shared" si="0"/>
        <v>#REF!</v>
      </c>
      <c r="V14" s="116"/>
      <c r="W14" s="58">
        <v>2028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</row>
    <row r="15" spans="9:37" x14ac:dyDescent="0.25">
      <c r="I15" s="116" t="e">
        <f>#REF!</f>
        <v>#REF!</v>
      </c>
      <c r="J15" s="58">
        <v>2029</v>
      </c>
      <c r="K15" s="174" t="e">
        <f t="shared" si="0"/>
        <v>#REF!</v>
      </c>
      <c r="V15" s="116"/>
      <c r="W15" s="58">
        <v>2029</v>
      </c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9:37" ht="15.75" thickBot="1" x14ac:dyDescent="0.3">
      <c r="I16" s="157" t="e">
        <f>#REF!</f>
        <v>#REF!</v>
      </c>
      <c r="J16" s="115">
        <v>2030</v>
      </c>
      <c r="K16" s="175" t="e">
        <f t="shared" si="0"/>
        <v>#REF!</v>
      </c>
      <c r="V16" s="132"/>
      <c r="W16" s="115">
        <v>2030</v>
      </c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1:37" x14ac:dyDescent="0.25"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</row>
    <row r="18" spans="1:37" ht="15.75" thickBot="1" x14ac:dyDescent="0.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5.75" thickBot="1" x14ac:dyDescent="0.3">
      <c r="A19" s="94"/>
      <c r="B19" s="94"/>
      <c r="C19" s="94"/>
      <c r="D19" s="94"/>
      <c r="E19" s="94"/>
      <c r="F19" s="94"/>
      <c r="G19" s="94"/>
      <c r="H19" s="94"/>
      <c r="I19" s="147" t="s">
        <v>128</v>
      </c>
      <c r="J19" s="148" t="s">
        <v>117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47" t="s">
        <v>139</v>
      </c>
      <c r="W19" s="151" t="s">
        <v>140</v>
      </c>
      <c r="X19" s="151" t="s">
        <v>141</v>
      </c>
      <c r="Y19" s="148" t="s">
        <v>117</v>
      </c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x14ac:dyDescent="0.25">
      <c r="A20" s="94"/>
      <c r="B20" s="94"/>
      <c r="C20" s="94"/>
      <c r="D20" s="94"/>
      <c r="E20" s="94"/>
      <c r="F20" s="94"/>
      <c r="G20" s="94"/>
      <c r="H20" s="94"/>
      <c r="I20" s="150">
        <f>'2017'!AF21</f>
        <v>1218.8998260999999</v>
      </c>
      <c r="J20" s="146">
        <v>2017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50">
        <f>'2017'!AC$21</f>
        <v>716.60926119999988</v>
      </c>
      <c r="W20" s="149">
        <f>'2017'!AD$21</f>
        <v>174.02550000000005</v>
      </c>
      <c r="X20" s="149">
        <f>'2017'!AE$21</f>
        <v>328.26506490000003</v>
      </c>
      <c r="Y20" s="146">
        <v>2017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37" x14ac:dyDescent="0.25">
      <c r="A21" s="94"/>
      <c r="B21" s="94"/>
      <c r="C21" s="94"/>
      <c r="D21" s="94"/>
      <c r="E21" s="94"/>
      <c r="F21" s="94"/>
      <c r="G21" s="94"/>
      <c r="H21" s="94"/>
      <c r="I21" s="52">
        <f>'2018'!AF21</f>
        <v>1315.8579019999997</v>
      </c>
      <c r="J21" s="144">
        <v>2018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2">
        <f>'2018'!AC$21</f>
        <v>719.72246499999983</v>
      </c>
      <c r="W21" s="10">
        <f>'2018'!AD$21</f>
        <v>206.20179999999999</v>
      </c>
      <c r="X21" s="10">
        <f>'2018'!AE$21</f>
        <v>389.93363699999998</v>
      </c>
      <c r="Y21" s="144">
        <v>2018</v>
      </c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1:37" x14ac:dyDescent="0.25">
      <c r="A22" s="94"/>
      <c r="B22" s="94"/>
      <c r="C22" s="94"/>
      <c r="D22" s="94"/>
      <c r="E22" s="94"/>
      <c r="F22" s="94"/>
      <c r="G22" s="94"/>
      <c r="H22" s="94"/>
      <c r="I22" s="52">
        <f>'2019'!AI21</f>
        <v>1305.6491713</v>
      </c>
      <c r="J22" s="144">
        <v>2019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2">
        <f>'2019'!AF$21</f>
        <v>650.90661999999998</v>
      </c>
      <c r="W22" s="10">
        <f>'2019'!AG$21</f>
        <v>200.1121</v>
      </c>
      <c r="X22" s="10">
        <f>'2019'!AH$21</f>
        <v>454.6304513</v>
      </c>
      <c r="Y22" s="144">
        <v>2019</v>
      </c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1:37" x14ac:dyDescent="0.25">
      <c r="A23" s="94"/>
      <c r="B23" s="94"/>
      <c r="C23" s="94"/>
      <c r="D23" s="94"/>
      <c r="E23" s="94"/>
      <c r="F23" s="94"/>
      <c r="G23" s="94"/>
      <c r="H23" s="94"/>
      <c r="I23" s="52">
        <f>'2020'!AI21</f>
        <v>1345.2803276999998</v>
      </c>
      <c r="J23" s="144">
        <v>2020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2">
        <f>'2020'!AF$21</f>
        <v>667.72544299999993</v>
      </c>
      <c r="W23" s="10">
        <f>'2020'!AG$21</f>
        <v>201.74450000000002</v>
      </c>
      <c r="X23" s="10">
        <f>'2020'!AH$21</f>
        <v>475.81038469999999</v>
      </c>
      <c r="Y23" s="144">
        <v>2020</v>
      </c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1:37" x14ac:dyDescent="0.25">
      <c r="A24" s="94"/>
      <c r="B24" s="94"/>
      <c r="C24" s="94"/>
      <c r="D24" s="94"/>
      <c r="E24" s="94"/>
      <c r="F24" s="94"/>
      <c r="G24" s="94"/>
      <c r="H24" s="94"/>
      <c r="I24" s="176">
        <f>'2021'!AI21</f>
        <v>1013.4865729999999</v>
      </c>
      <c r="J24" s="144">
        <v>2021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46">
        <f>'2021'!AF$21</f>
        <v>577.31357600000001</v>
      </c>
      <c r="W24" s="3">
        <f>'2021'!AG$21</f>
        <v>176.03949999999998</v>
      </c>
      <c r="X24" s="3">
        <f>'2021'!AH$21</f>
        <v>260.13349699999998</v>
      </c>
      <c r="Y24" s="144">
        <v>2021</v>
      </c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1:37" x14ac:dyDescent="0.25">
      <c r="A25" s="94"/>
      <c r="B25" s="94"/>
      <c r="C25" s="94"/>
      <c r="D25" s="94"/>
      <c r="E25" s="94"/>
      <c r="F25" s="94"/>
      <c r="G25" s="94"/>
      <c r="H25" s="94"/>
      <c r="I25" s="176">
        <f>'2022'!AI21</f>
        <v>1097.0525984750002</v>
      </c>
      <c r="J25" s="144">
        <v>2022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46">
        <f>'2022'!AF$21</f>
        <v>510.813414475</v>
      </c>
      <c r="W25" s="3">
        <f>'2022'!AG$21</f>
        <v>165.03670000000002</v>
      </c>
      <c r="X25" s="3">
        <f>'2022'!AH$21</f>
        <v>421.20248400000003</v>
      </c>
      <c r="Y25" s="144">
        <v>2022</v>
      </c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1:37" x14ac:dyDescent="0.25">
      <c r="A26" s="94"/>
      <c r="B26" s="94"/>
      <c r="C26" s="94"/>
      <c r="D26" s="94"/>
      <c r="E26" s="94"/>
      <c r="F26" s="94"/>
      <c r="G26" s="94"/>
      <c r="H26" s="94"/>
      <c r="I26" s="176" t="e">
        <f>#REF!</f>
        <v>#REF!</v>
      </c>
      <c r="J26" s="144">
        <v>2023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46" t="e">
        <f>#REF!</f>
        <v>#REF!</v>
      </c>
      <c r="W26" s="3" t="e">
        <f>#REF!</f>
        <v>#REF!</v>
      </c>
      <c r="X26" s="3" t="e">
        <f>#REF!</f>
        <v>#REF!</v>
      </c>
      <c r="Y26" s="144">
        <v>2023</v>
      </c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1:37" x14ac:dyDescent="0.25">
      <c r="A27" s="94"/>
      <c r="B27" s="94"/>
      <c r="C27" s="94"/>
      <c r="D27" s="94"/>
      <c r="E27" s="94"/>
      <c r="F27" s="94"/>
      <c r="G27" s="94"/>
      <c r="H27" s="94"/>
      <c r="I27" s="176" t="e">
        <f>#REF!</f>
        <v>#REF!</v>
      </c>
      <c r="J27" s="144">
        <v>2024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46" t="e">
        <f>#REF!</f>
        <v>#REF!</v>
      </c>
      <c r="W27" s="3" t="e">
        <f>#REF!</f>
        <v>#REF!</v>
      </c>
      <c r="X27" s="3" t="e">
        <f>#REF!</f>
        <v>#REF!</v>
      </c>
      <c r="Y27" s="144">
        <v>2024</v>
      </c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1:37" x14ac:dyDescent="0.25">
      <c r="A28" s="94"/>
      <c r="B28" s="94"/>
      <c r="C28" s="94"/>
      <c r="D28" s="94"/>
      <c r="E28" s="94"/>
      <c r="F28" s="94"/>
      <c r="G28" s="94"/>
      <c r="H28" s="94"/>
      <c r="I28" s="176" t="e">
        <f>#REF!</f>
        <v>#REF!</v>
      </c>
      <c r="J28" s="144">
        <v>2025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46" t="e">
        <f>#REF!</f>
        <v>#REF!</v>
      </c>
      <c r="W28" s="3" t="e">
        <f>#REF!</f>
        <v>#REF!</v>
      </c>
      <c r="X28" s="3" t="e">
        <f>#REF!</f>
        <v>#REF!</v>
      </c>
      <c r="Y28" s="144">
        <v>2025</v>
      </c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1:37" x14ac:dyDescent="0.25">
      <c r="A29" s="94"/>
      <c r="B29" s="94"/>
      <c r="C29" s="94"/>
      <c r="D29" s="94"/>
      <c r="E29" s="94"/>
      <c r="F29" s="94"/>
      <c r="G29" s="94"/>
      <c r="H29" s="94"/>
      <c r="I29" s="176" t="e">
        <f>#REF!</f>
        <v>#REF!</v>
      </c>
      <c r="J29" s="144">
        <v>2026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46" t="e">
        <f>#REF!</f>
        <v>#REF!</v>
      </c>
      <c r="W29" s="3" t="e">
        <f>#REF!</f>
        <v>#REF!</v>
      </c>
      <c r="X29" s="3" t="e">
        <f>#REF!</f>
        <v>#REF!</v>
      </c>
      <c r="Y29" s="144">
        <v>2026</v>
      </c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1:37" x14ac:dyDescent="0.25">
      <c r="A30" s="94"/>
      <c r="B30" s="94"/>
      <c r="C30" s="94"/>
      <c r="D30" s="94"/>
      <c r="E30" s="94"/>
      <c r="F30" s="94"/>
      <c r="G30" s="94"/>
      <c r="H30" s="94"/>
      <c r="I30" s="176" t="e">
        <f>#REF!</f>
        <v>#REF!</v>
      </c>
      <c r="J30" s="144">
        <v>2027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46" t="e">
        <f>#REF!</f>
        <v>#REF!</v>
      </c>
      <c r="W30" s="3" t="e">
        <f>#REF!</f>
        <v>#REF!</v>
      </c>
      <c r="X30" s="3" t="e">
        <f>#REF!</f>
        <v>#REF!</v>
      </c>
      <c r="Y30" s="144">
        <v>2027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1:37" x14ac:dyDescent="0.25">
      <c r="A31" s="94"/>
      <c r="B31" s="94"/>
      <c r="C31" s="94"/>
      <c r="D31" s="94"/>
      <c r="E31" s="94"/>
      <c r="F31" s="94"/>
      <c r="G31" s="94"/>
      <c r="H31" s="94"/>
      <c r="I31" s="176" t="e">
        <f>#REF!</f>
        <v>#REF!</v>
      </c>
      <c r="J31" s="144">
        <v>2028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46" t="e">
        <f>#REF!</f>
        <v>#REF!</v>
      </c>
      <c r="W31" s="3" t="e">
        <f>#REF!</f>
        <v>#REF!</v>
      </c>
      <c r="X31" s="3" t="e">
        <f>#REF!</f>
        <v>#REF!</v>
      </c>
      <c r="Y31" s="144">
        <v>2028</v>
      </c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37" x14ac:dyDescent="0.25">
      <c r="A32" s="94"/>
      <c r="B32" s="94"/>
      <c r="C32" s="94"/>
      <c r="D32" s="94"/>
      <c r="E32" s="94"/>
      <c r="F32" s="94"/>
      <c r="G32" s="94"/>
      <c r="H32" s="94"/>
      <c r="I32" s="176" t="e">
        <f>#REF!</f>
        <v>#REF!</v>
      </c>
      <c r="J32" s="144">
        <v>2029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46" t="e">
        <f>#REF!</f>
        <v>#REF!</v>
      </c>
      <c r="W32" s="3" t="e">
        <f>#REF!</f>
        <v>#REF!</v>
      </c>
      <c r="X32" s="3" t="e">
        <f>#REF!</f>
        <v>#REF!</v>
      </c>
      <c r="Y32" s="144">
        <v>2029</v>
      </c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</row>
    <row r="33" spans="1:37" ht="15.75" thickBot="1" x14ac:dyDescent="0.3">
      <c r="A33" s="94"/>
      <c r="B33" s="94"/>
      <c r="C33" s="94"/>
      <c r="D33" s="94"/>
      <c r="E33" s="94"/>
      <c r="F33" s="94"/>
      <c r="G33" s="94"/>
      <c r="H33" s="94"/>
      <c r="I33" s="168" t="e">
        <f>#REF!</f>
        <v>#REF!</v>
      </c>
      <c r="J33" s="145">
        <v>2030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68" t="e">
        <f>#REF!</f>
        <v>#REF!</v>
      </c>
      <c r="W33" s="169" t="e">
        <f>#REF!</f>
        <v>#REF!</v>
      </c>
      <c r="X33" s="169" t="e">
        <f>#REF!</f>
        <v>#REF!</v>
      </c>
      <c r="Y33" s="145">
        <v>2030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</row>
    <row r="34" spans="1:37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</row>
    <row r="35" spans="1:37" ht="15.75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6" spans="1:37" ht="15.75" thickBot="1" x14ac:dyDescent="0.3">
      <c r="A36" s="94"/>
      <c r="B36" s="94"/>
      <c r="C36" s="94"/>
      <c r="D36" s="94"/>
      <c r="E36" s="94"/>
      <c r="F36" s="94"/>
      <c r="G36" s="94"/>
      <c r="H36" s="94"/>
      <c r="I36" s="147" t="s">
        <v>130</v>
      </c>
      <c r="J36" s="148" t="s">
        <v>117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47" t="s">
        <v>131</v>
      </c>
      <c r="W36" s="151" t="s">
        <v>132</v>
      </c>
      <c r="X36" s="151" t="s">
        <v>133</v>
      </c>
      <c r="Y36" s="148" t="s">
        <v>117</v>
      </c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1:37" x14ac:dyDescent="0.25">
      <c r="A37" s="94"/>
      <c r="B37" s="94"/>
      <c r="C37" s="94"/>
      <c r="D37" s="94"/>
      <c r="E37" s="94"/>
      <c r="F37" s="94"/>
      <c r="G37" s="94"/>
      <c r="H37" s="94"/>
      <c r="I37" s="150">
        <f>'2017'!AI21</f>
        <v>553280</v>
      </c>
      <c r="J37" s="146">
        <v>2017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150">
        <f>'2017'!AI$18</f>
        <v>378528</v>
      </c>
      <c r="W37" s="149">
        <f>'2017'!AI$19</f>
        <v>103672</v>
      </c>
      <c r="X37" s="149">
        <f>'2017'!AI$20</f>
        <v>71080</v>
      </c>
      <c r="Y37" s="146">
        <v>2017</v>
      </c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</row>
    <row r="38" spans="1:37" x14ac:dyDescent="0.25">
      <c r="A38" s="94"/>
      <c r="B38" s="94"/>
      <c r="C38" s="94"/>
      <c r="D38" s="94"/>
      <c r="E38" s="94"/>
      <c r="F38" s="94"/>
      <c r="G38" s="94"/>
      <c r="H38" s="94"/>
      <c r="I38" s="52">
        <f>'2018'!AI21</f>
        <v>486761</v>
      </c>
      <c r="J38" s="144">
        <v>2018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52">
        <f>'2018'!AI$18</f>
        <v>337269</v>
      </c>
      <c r="W38" s="10">
        <f>'2018'!AI$19</f>
        <v>48076</v>
      </c>
      <c r="X38" s="10">
        <f>'2018'!AI$20</f>
        <v>101416</v>
      </c>
      <c r="Y38" s="144">
        <v>2018</v>
      </c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7" x14ac:dyDescent="0.25">
      <c r="A39" s="94"/>
      <c r="B39" s="94"/>
      <c r="C39" s="94"/>
      <c r="D39" s="94"/>
      <c r="E39" s="94"/>
      <c r="F39" s="94"/>
      <c r="G39" s="94"/>
      <c r="H39" s="94"/>
      <c r="I39" s="52">
        <f>'2019'!AL21</f>
        <v>777741</v>
      </c>
      <c r="J39" s="144">
        <v>2019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52">
        <f>'2019'!AL$18</f>
        <v>312123</v>
      </c>
      <c r="W39" s="10">
        <f>'2019'!AL$19</f>
        <v>344295</v>
      </c>
      <c r="X39" s="10">
        <f>'2019'!AL$20</f>
        <v>121323</v>
      </c>
      <c r="Y39" s="144">
        <v>2019</v>
      </c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7" x14ac:dyDescent="0.25">
      <c r="A40" s="94"/>
      <c r="B40" s="94"/>
      <c r="C40" s="94"/>
      <c r="D40" s="94"/>
      <c r="E40" s="94"/>
      <c r="F40" s="94"/>
      <c r="G40" s="94"/>
      <c r="H40" s="94"/>
      <c r="I40" s="52">
        <f>'2020'!AL21</f>
        <v>970815</v>
      </c>
      <c r="J40" s="144">
        <v>2020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52">
        <f>'2020'!AL$18</f>
        <v>242859</v>
      </c>
      <c r="W40" s="10">
        <f>'2020'!AL$19</f>
        <v>563028</v>
      </c>
      <c r="X40" s="10">
        <f>'2020'!AL$20</f>
        <v>164928</v>
      </c>
      <c r="Y40" s="144">
        <v>2020</v>
      </c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7" x14ac:dyDescent="0.25">
      <c r="A41" s="94"/>
      <c r="B41" s="94"/>
      <c r="C41" s="94"/>
      <c r="D41" s="94"/>
      <c r="E41" s="94"/>
      <c r="F41" s="94"/>
      <c r="G41" s="94"/>
      <c r="H41" s="94"/>
      <c r="I41" s="176">
        <f>'2021'!AL21</f>
        <v>358114</v>
      </c>
      <c r="J41" s="144">
        <v>2021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46">
        <f>'2021'!AL$18</f>
        <v>176597</v>
      </c>
      <c r="W41" s="3">
        <f>'2021'!AL$19</f>
        <v>71854</v>
      </c>
      <c r="X41" s="3">
        <f>'2021'!AL$20</f>
        <v>109663</v>
      </c>
      <c r="Y41" s="144">
        <v>2021</v>
      </c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7" x14ac:dyDescent="0.25">
      <c r="A42" s="94"/>
      <c r="B42" s="94"/>
      <c r="C42" s="94"/>
      <c r="D42" s="94"/>
      <c r="E42" s="94"/>
      <c r="F42" s="94"/>
      <c r="G42" s="94"/>
      <c r="H42" s="94"/>
      <c r="I42" s="176">
        <f>'2022'!AL21</f>
        <v>456925</v>
      </c>
      <c r="J42" s="144">
        <v>2022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46">
        <f>'2022'!AL$18</f>
        <v>199585</v>
      </c>
      <c r="W42" s="3">
        <f>'2022'!AL$19</f>
        <v>175870</v>
      </c>
      <c r="X42" s="3">
        <f>'2022'!AL$20</f>
        <v>81470</v>
      </c>
      <c r="Y42" s="144">
        <v>2022</v>
      </c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7" x14ac:dyDescent="0.25">
      <c r="A43" s="94"/>
      <c r="B43" s="94"/>
      <c r="C43" s="94"/>
      <c r="D43" s="94"/>
      <c r="E43" s="94"/>
      <c r="F43" s="94"/>
      <c r="G43" s="94"/>
      <c r="H43" s="94"/>
      <c r="I43" s="176" t="e">
        <f>#REF!</f>
        <v>#REF!</v>
      </c>
      <c r="J43" s="144">
        <v>2023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46" t="e">
        <f>#REF!</f>
        <v>#REF!</v>
      </c>
      <c r="W43" s="3" t="e">
        <f>#REF!</f>
        <v>#REF!</v>
      </c>
      <c r="X43" s="3" t="e">
        <f>#REF!</f>
        <v>#REF!</v>
      </c>
      <c r="Y43" s="144">
        <v>2023</v>
      </c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7" x14ac:dyDescent="0.25">
      <c r="A44" s="94"/>
      <c r="B44" s="94"/>
      <c r="C44" s="94"/>
      <c r="D44" s="94"/>
      <c r="E44" s="94"/>
      <c r="F44" s="94"/>
      <c r="G44" s="94"/>
      <c r="H44" s="94"/>
      <c r="I44" s="176" t="e">
        <f>#REF!</f>
        <v>#REF!</v>
      </c>
      <c r="J44" s="144">
        <v>2024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46" t="e">
        <f>#REF!</f>
        <v>#REF!</v>
      </c>
      <c r="W44" s="3" t="e">
        <f>#REF!</f>
        <v>#REF!</v>
      </c>
      <c r="X44" s="3" t="e">
        <f>#REF!</f>
        <v>#REF!</v>
      </c>
      <c r="Y44" s="144">
        <v>2024</v>
      </c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7" x14ac:dyDescent="0.25">
      <c r="A45" s="94"/>
      <c r="B45" s="94"/>
      <c r="C45" s="94"/>
      <c r="D45" s="94"/>
      <c r="E45" s="94"/>
      <c r="F45" s="94"/>
      <c r="G45" s="94"/>
      <c r="H45" s="94"/>
      <c r="I45" s="176" t="e">
        <f>#REF!</f>
        <v>#REF!</v>
      </c>
      <c r="J45" s="144">
        <v>2025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46" t="e">
        <f>#REF!</f>
        <v>#REF!</v>
      </c>
      <c r="W45" s="3" t="e">
        <f>#REF!</f>
        <v>#REF!</v>
      </c>
      <c r="X45" s="3" t="e">
        <f>#REF!</f>
        <v>#REF!</v>
      </c>
      <c r="Y45" s="144">
        <v>2025</v>
      </c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7" x14ac:dyDescent="0.25">
      <c r="A46" s="94"/>
      <c r="B46" s="94"/>
      <c r="C46" s="94"/>
      <c r="D46" s="94"/>
      <c r="E46" s="94"/>
      <c r="F46" s="94"/>
      <c r="G46" s="94"/>
      <c r="H46" s="94"/>
      <c r="I46" s="176" t="e">
        <f>#REF!</f>
        <v>#REF!</v>
      </c>
      <c r="J46" s="144">
        <v>2026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46" t="e">
        <f>#REF!</f>
        <v>#REF!</v>
      </c>
      <c r="W46" s="3" t="e">
        <f>#REF!</f>
        <v>#REF!</v>
      </c>
      <c r="X46" s="3" t="e">
        <f>#REF!</f>
        <v>#REF!</v>
      </c>
      <c r="Y46" s="144">
        <v>2026</v>
      </c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7" x14ac:dyDescent="0.25">
      <c r="A47" s="94"/>
      <c r="B47" s="94"/>
      <c r="C47" s="94"/>
      <c r="D47" s="94"/>
      <c r="E47" s="94"/>
      <c r="F47" s="94"/>
      <c r="G47" s="94"/>
      <c r="H47" s="94"/>
      <c r="I47" s="176" t="e">
        <f>#REF!</f>
        <v>#REF!</v>
      </c>
      <c r="J47" s="144">
        <v>2027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46" t="e">
        <f>#REF!</f>
        <v>#REF!</v>
      </c>
      <c r="W47" s="3" t="e">
        <f>#REF!</f>
        <v>#REF!</v>
      </c>
      <c r="X47" s="3" t="e">
        <f>#REF!</f>
        <v>#REF!</v>
      </c>
      <c r="Y47" s="144">
        <v>2027</v>
      </c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7" x14ac:dyDescent="0.25">
      <c r="A48" s="94"/>
      <c r="B48" s="94"/>
      <c r="C48" s="94"/>
      <c r="D48" s="94"/>
      <c r="E48" s="94"/>
      <c r="F48" s="94"/>
      <c r="G48" s="94"/>
      <c r="H48" s="94"/>
      <c r="I48" s="176" t="e">
        <f>#REF!</f>
        <v>#REF!</v>
      </c>
      <c r="J48" s="144">
        <v>2028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46" t="e">
        <f>#REF!</f>
        <v>#REF!</v>
      </c>
      <c r="W48" s="3" t="e">
        <f>#REF!</f>
        <v>#REF!</v>
      </c>
      <c r="X48" s="3" t="e">
        <f>#REF!</f>
        <v>#REF!</v>
      </c>
      <c r="Y48" s="144">
        <v>2028</v>
      </c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x14ac:dyDescent="0.25">
      <c r="A49" s="94"/>
      <c r="B49" s="94"/>
      <c r="C49" s="94"/>
      <c r="D49" s="94"/>
      <c r="E49" s="94"/>
      <c r="F49" s="94"/>
      <c r="G49" s="94"/>
      <c r="H49" s="94"/>
      <c r="I49" s="176" t="e">
        <f>#REF!</f>
        <v>#REF!</v>
      </c>
      <c r="J49" s="144">
        <v>2029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46" t="e">
        <f>#REF!</f>
        <v>#REF!</v>
      </c>
      <c r="W49" s="3" t="e">
        <f>#REF!</f>
        <v>#REF!</v>
      </c>
      <c r="X49" s="3" t="e">
        <f>#REF!</f>
        <v>#REF!</v>
      </c>
      <c r="Y49" s="144">
        <v>2029</v>
      </c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thickBot="1" x14ac:dyDescent="0.3">
      <c r="A50" s="94"/>
      <c r="B50" s="94"/>
      <c r="C50" s="94"/>
      <c r="D50" s="94"/>
      <c r="E50" s="94"/>
      <c r="F50" s="94"/>
      <c r="G50" s="94"/>
      <c r="H50" s="94"/>
      <c r="I50" s="168" t="e">
        <f>#REF!</f>
        <v>#REF!</v>
      </c>
      <c r="J50" s="145">
        <v>2030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157" t="e">
        <f>#REF!</f>
        <v>#REF!</v>
      </c>
      <c r="W50" s="158" t="e">
        <f>#REF!</f>
        <v>#REF!</v>
      </c>
      <c r="X50" s="159" t="e">
        <f>#REF!</f>
        <v>#REF!</v>
      </c>
      <c r="Y50" s="145">
        <v>2030</v>
      </c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x14ac:dyDescent="0.25"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Analysis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astresser</dc:creator>
  <cp:lastModifiedBy>Jeff Stollenwerk</cp:lastModifiedBy>
  <cp:lastPrinted>2022-07-11T14:38:48Z</cp:lastPrinted>
  <dcterms:created xsi:type="dcterms:W3CDTF">2014-07-22T16:25:22Z</dcterms:created>
  <dcterms:modified xsi:type="dcterms:W3CDTF">2023-05-01T21:15:05Z</dcterms:modified>
</cp:coreProperties>
</file>